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9600" windowHeight="11895" tabRatio="818" activeTab="2"/>
  </bookViews>
  <sheets>
    <sheet name="прил1 " sheetId="1" r:id="rId1"/>
    <sheet name="прил2" sheetId="2" r:id="rId2"/>
    <sheet name="прил3" sheetId="3" r:id="rId3"/>
    <sheet name="прил 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  <sheet name="прил14" sheetId="14" r:id="rId14"/>
    <sheet name="прил15" sheetId="15" r:id="rId15"/>
    <sheet name="прил16" sheetId="16" r:id="rId16"/>
  </sheets>
  <definedNames>
    <definedName name="Z_61760596_1996_422C_A41D_51592B5AEA63_.wvu.PrintArea" localSheetId="0" hidden="1">'прил1 '!$A$1:$C$74</definedName>
    <definedName name="Z_61760596_1996_422C_A41D_51592B5AEA63_.wvu.PrintArea" localSheetId="9" hidden="1">'прил10'!$A$1:$C$26</definedName>
    <definedName name="Z_61760596_1996_422C_A41D_51592B5AEA63_.wvu.PrintArea" localSheetId="14" hidden="1">'прил15'!$A$1:$G$21</definedName>
    <definedName name="Z_61760596_1996_422C_A41D_51592B5AEA63_.wvu.PrintArea" localSheetId="15" hidden="1">'прил16'!$A$1:$G$21</definedName>
    <definedName name="Z_61760596_1996_422C_A41D_51592B5AEA63_.wvu.PrintArea" localSheetId="8" hidden="1">'прил9'!$A$1:$C$25</definedName>
    <definedName name="Z_61760596_1996_422C_A41D_51592B5AEA63_.wvu.Rows" localSheetId="1" hidden="1">'прил2'!#REF!</definedName>
    <definedName name="Z_772B23D4_7F73_461E_BC32_1D18D8038167_.wvu.PrintArea" localSheetId="0" hidden="1">'прил1 '!$A$1:$C$74</definedName>
    <definedName name="Z_772B23D4_7F73_461E_BC32_1D18D8038167_.wvu.PrintArea" localSheetId="9" hidden="1">'прил10'!$A$1:$C$26</definedName>
    <definedName name="Z_772B23D4_7F73_461E_BC32_1D18D8038167_.wvu.PrintArea" localSheetId="14" hidden="1">'прил15'!$A$1:$G$21</definedName>
    <definedName name="Z_772B23D4_7F73_461E_BC32_1D18D8038167_.wvu.PrintArea" localSheetId="15" hidden="1">'прил16'!$A$1:$G$21</definedName>
    <definedName name="Z_772B23D4_7F73_461E_BC32_1D18D8038167_.wvu.PrintArea" localSheetId="8" hidden="1">'прил9'!$A$1:$C$25</definedName>
    <definedName name="Z_772B23D4_7F73_461E_BC32_1D18D8038167_.wvu.Rows" localSheetId="1" hidden="1">'прил2'!#REF!</definedName>
    <definedName name="_xlnm.Print_Titles" localSheetId="3">'прил 4'!$7:$7</definedName>
    <definedName name="_xlnm.Print_Titles" localSheetId="0">'прил1 '!$8:$8</definedName>
    <definedName name="_xlnm.Print_Titles" localSheetId="10">'прил11'!$8:$8</definedName>
    <definedName name="_xlnm.Print_Titles" localSheetId="11">'прил12'!$8:$8</definedName>
    <definedName name="_xlnm.Print_Titles" localSheetId="2">'прил3'!$7:$7</definedName>
    <definedName name="_xlnm.Print_Titles" localSheetId="4">'прил5'!$7:$7</definedName>
    <definedName name="_xlnm.Print_Titles" localSheetId="5">'прил6'!$7:$7</definedName>
    <definedName name="_xlnm.Print_Titles" localSheetId="6">'прил7'!$8:$8</definedName>
    <definedName name="_xlnm.Print_Titles" localSheetId="7">'прил8'!$8:$8</definedName>
    <definedName name="_xlnm.Print_Area" localSheetId="3">'прил 4'!$A$1:$D$119</definedName>
    <definedName name="_xlnm.Print_Area" localSheetId="0">'прил1 '!$A$1:$C$74</definedName>
    <definedName name="_xlnm.Print_Area" localSheetId="10">'прил11'!$A$1:$D$286</definedName>
    <definedName name="_xlnm.Print_Area" localSheetId="11">'прил12'!$A$1:$E$244</definedName>
    <definedName name="_xlnm.Print_Area" localSheetId="14">'прил15'!$A$1:$G$21</definedName>
    <definedName name="_xlnm.Print_Area" localSheetId="15">'прил16'!$A$1:$G$21</definedName>
    <definedName name="_xlnm.Print_Area" localSheetId="2">'прил3'!$A$1:$C$149</definedName>
    <definedName name="_xlnm.Print_Area" localSheetId="4">'прил5'!$A$1:$F$384</definedName>
    <definedName name="_xlnm.Print_Area" localSheetId="5">'прил6'!$A$1:$G$309</definedName>
    <definedName name="_xlnm.Print_Area" localSheetId="6">'прил7'!$A$1:$G$392</definedName>
    <definedName name="_xlnm.Print_Area" localSheetId="7">'прил8'!$A$1:$H$323</definedName>
    <definedName name="_xlnm.Print_Area" localSheetId="8">'прил9'!$A$1:$C$29</definedName>
  </definedNames>
  <calcPr fullCalcOnLoad="1"/>
</workbook>
</file>

<file path=xl/sharedStrings.xml><?xml version="1.0" encoding="utf-8"?>
<sst xmlns="http://schemas.openxmlformats.org/spreadsheetml/2006/main" count="8104" uniqueCount="932">
  <si>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</si>
  <si>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11 2 02 00000</t>
  </si>
  <si>
    <t>Денежные взыскания (штрафы) за нарушение законодательства 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</si>
  <si>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</si>
  <si>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</si>
  <si>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</si>
  <si>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</si>
  <si>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</si>
  <si>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</si>
  <si>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</si>
  <si>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</si>
  <si>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</si>
  <si>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7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</si>
  <si>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</si>
  <si>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</si>
  <si>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</si>
  <si>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</si>
  <si>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</si>
  <si>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</si>
  <si>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77 2 00 S3604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</si>
  <si>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</si>
  <si>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</si>
  <si>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</si>
  <si>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</si>
  <si>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</si>
  <si>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</si>
  <si>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</si>
  <si>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</si>
  <si>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</si>
  <si>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</si>
  <si>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</si>
  <si>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</si>
  <si>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</si>
  <si>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</si>
  <si>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Подпрограмма "Экология и чистая вода в городе Щигры Курской области" муниципальной программы "Воспроизводство и использование природных ресурсов, охрана окружающей среды в городе Щигры Курской области"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</si>
  <si>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</si>
  <si>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</si>
  <si>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</si>
  <si>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</si>
  <si>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1 14 02042 04 0000 410</t>
  </si>
  <si>
    <t>1 14 02042 04 0000 440</t>
  </si>
  <si>
    <t>1 14 02043 04 0000 440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</si>
  <si>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</si>
  <si>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</si>
  <si>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1 17 01040 04 0000 180</t>
  </si>
  <si>
    <t>Невыясненные поступления, зачисляемые в бюджеты городских округов</t>
  </si>
  <si>
    <t>Безвозмездные поступления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</si>
  <si>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</si>
  <si>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"Экология и чистая вода в городе Щигры Курской области" муниципальной программы "Воспроизводство и использование природных ресурсов, охрана окружающей среды в городе Щигры курской области"</t>
  </si>
  <si>
    <t>06 0 00 00000</t>
  </si>
  <si>
    <t>Муниципальная программа "Воспроизводство и использование природных ресурсов, охрана окружающей среды в городе Щигры Курской области"</t>
  </si>
  <si>
    <t>07 3 01 С1430</t>
  </si>
  <si>
    <t>Мероприятия по капитальному ремонту муниципального жилищного фонда</t>
  </si>
  <si>
    <t>07 3 01 00000</t>
  </si>
  <si>
    <t>Плата за размещение твердых коммунальных отходов</t>
  </si>
  <si>
    <t>1 12 01042 01 0000 120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</si>
  <si>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</si>
  <si>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</si>
  <si>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</si>
  <si>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</si>
  <si>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</si>
  <si>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</si>
  <si>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</si>
  <si>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Программа муниципальных гарантий города Щигры на 2020-2021 год</t>
  </si>
  <si>
    <t>1.1.Перечень подлежащих предоставлению муниципальных гарантий в 2020-2021 годах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</si>
  <si>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2020-2021 годах</t>
  </si>
  <si>
    <t>Программа муниципальных гарантий города Щигры на 2019 год</t>
  </si>
  <si>
    <t>1.1.Перечень подлежащих предоставлению муниципальных гарантий в 2019 году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</si>
  <si>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2019 году</t>
  </si>
  <si>
    <t>ПРОГНОЗИРУЕМОЕ ПОСТУПЛЕНИЕ  ДОХОДОВ В БЮДЖЕТ ГОРОДА ЩИГРЫ В 2020-2021 ГОДАХ</t>
  </si>
  <si>
    <t>Сумма
2021 год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</si>
  <si>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</si>
  <si>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</si>
  <si>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</si>
  <si>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</si>
  <si>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</si>
  <si>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</si>
  <si>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</si>
  <si>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</si>
  <si>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</si>
  <si>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</si>
  <si>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</si>
  <si>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</si>
  <si>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</si>
  <si>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</si>
  <si>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 бюджетных и  автономных учреждений)</t>
  </si>
  <si>
    <t>1 11 05034 04 0000 120</t>
  </si>
  <si>
    <t>Доходы от сдачи  в аренду имущества, находящегося в оперативном управлении  органов  управления городских округов и созданных ими учреждений (за исключением имущества муниципальных бюджетных и  автономных учреждений)</t>
  </si>
  <si>
    <t>1 11 09034 04 0000 120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</si>
  <si>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</si>
  <si>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</si>
  <si>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</si>
  <si>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</si>
  <si>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</si>
  <si>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</si>
  <si>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</si>
  <si>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</si>
  <si>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</si>
  <si>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</si>
  <si>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</si>
  <si>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</si>
  <si>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</si>
  <si>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</si>
  <si>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</si>
  <si>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</si>
  <si>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</si>
  <si>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</si>
  <si>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</si>
  <si>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</si>
  <si>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</si>
  <si>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</si>
  <si>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</si>
  <si>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</si>
  <si>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</si>
  <si>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</si>
  <si>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</si>
  <si>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</si>
  <si>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Приложение №1</t>
  </si>
  <si>
    <t>ПЕРЕЧЕНЬ ГЛАВНЫХ АДМИНИСТРАТОРОВ ДОХОДОВ БЮДЖЕТА ГОРОДА ЩИГРЫ</t>
  </si>
  <si>
    <t>тыс.руб.</t>
  </si>
  <si>
    <t>Наименование главного администратора доходов бюджета города Щигры</t>
  </si>
  <si>
    <t>главного администратора доходов</t>
  </si>
  <si>
    <t>доходов местного бюджета</t>
  </si>
  <si>
    <t>1 11 05024 04 0000 120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</si>
  <si>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</si>
  <si>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</si>
  <si>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</si>
  <si>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</si>
  <si>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</si>
  <si>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</si>
  <si>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1 16 32000 04 0000 140</t>
  </si>
  <si>
    <t>Мероприятия, связанные с организацией отдыха детей в каникулярное время</t>
  </si>
  <si>
    <t>08 1 01 S3540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</si>
  <si>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</si>
  <si>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</si>
  <si>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</si>
  <si>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</si>
  <si>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</si>
  <si>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</si>
  <si>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</si>
  <si>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</si>
  <si>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</si>
  <si>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</si>
  <si>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Жилищно-коммунальное хозяйство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</si>
  <si>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</si>
  <si>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1 16 46000 04 0000 140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</si>
  <si>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</si>
  <si>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</si>
  <si>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</si>
  <si>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</si>
  <si>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r>
      <t>Безвозмездные поступления</t>
    </r>
    <r>
      <rPr>
        <vertAlign val="superscript"/>
        <sz val="10"/>
        <rFont val="Arial"/>
        <family val="2"/>
      </rPr>
      <t>*,**</t>
    </r>
  </si>
  <si>
    <t xml:space="preserve">Сумма
</t>
  </si>
  <si>
    <t>ДОХОДЫ, ВСЕГО</t>
  </si>
  <si>
    <t>Приложение №12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</si>
  <si>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</si>
  <si>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</si>
  <si>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</si>
  <si>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</si>
  <si>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</si>
  <si>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</si>
  <si>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</si>
  <si>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</si>
  <si>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</si>
  <si>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Приложение №2</t>
  </si>
  <si>
    <t>ПЕРЕЧЕНЬ ГЛАВНЫХ АДМИНИСТРАТОРОВ ИСТОЧНИКОВ ФИНАНСИРОВАНИЯ ДЕФИЦИТА БЮДЖЕТА ГОРОДА ЩИГРЫ</t>
  </si>
  <si>
    <t>Код главы</t>
  </si>
  <si>
    <t>Код группы, подгруппы, статьи и вида источников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</si>
  <si>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</si>
  <si>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</si>
  <si>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</si>
  <si>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</si>
  <si>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</si>
  <si>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</si>
  <si>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Другие вопросы в области национальной экономики</t>
  </si>
  <si>
    <t>2020 г</t>
  </si>
  <si>
    <t>2021г</t>
  </si>
  <si>
    <t>Ведомственная структура расходов бюджета города Щигры на 2020-2021 годы</t>
  </si>
  <si>
    <t>Сумма на 2021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</si>
  <si>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2020-2021 год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</si>
  <si>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</si>
  <si>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Объем привлечения средств в 2020 г.</t>
  </si>
  <si>
    <t>Пенсионное обеспечение</t>
  </si>
  <si>
    <t>02 2 05 00000</t>
  </si>
  <si>
    <t>02 2 05 С1445</t>
  </si>
  <si>
    <t>Выплата пенсий за выслугу лет и доплат к пенсиям муниципальных служащих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</si>
  <si>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</si>
  <si>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</si>
  <si>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</si>
  <si>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</si>
  <si>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</si>
  <si>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</si>
  <si>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</si>
  <si>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</si>
  <si>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</si>
  <si>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</si>
  <si>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</si>
  <si>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Основное мероприятие "Профилактика правонарушений в жилом секторе, на улицах и в общественных местах"</t>
  </si>
  <si>
    <t>Основное мероприятие "Обеспечение материального стимулирования деятельности народных дружинников"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</si>
  <si>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</si>
  <si>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</si>
  <si>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</si>
  <si>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13 3 00 00000</t>
  </si>
  <si>
    <t>Основное мероприятие"Организация обучения населения мерам пожарной безопасности и своевременное информирование населения о мерах пожарной безопасности"</t>
  </si>
  <si>
    <t>13 3 02 00000</t>
  </si>
  <si>
    <t>Обеспечение первичных мер пожарной безопасности в границах населенных пунктов муниципальных образований</t>
  </si>
  <si>
    <t>13 3 02 С1415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</si>
  <si>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</si>
  <si>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</si>
  <si>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</si>
  <si>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03 4 01 00000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</si>
  <si>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</si>
  <si>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03 4 01 С1421</t>
  </si>
  <si>
    <t>Капитальные вложения в объекты государственной (муниципальной) собственности</t>
  </si>
  <si>
    <t>Организация мероприятий при осуществлении деятельности по обращению с животными без владельцев</t>
  </si>
  <si>
    <t>03 2 03 C1401</t>
  </si>
  <si>
    <t>от  14.12.2018г. №94-6-РД(в ред от 13.12.2019г.)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</si>
  <si>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</si>
  <si>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Подпрограмма "Управление муниципальным долгом города Щигры" муниципальной программы "Повышение эффективности управления финансами"</t>
  </si>
  <si>
    <t>13</t>
  </si>
  <si>
    <t>03</t>
  </si>
  <si>
    <t>09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</si>
  <si>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</si>
  <si>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</si>
  <si>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ИСТОЧНИКИ ВНУТРЕННЕГО ФИНАНСИРОВАНИЯ ДЕФИЦИТОВ БЮДЖЕТОВ</t>
  </si>
  <si>
    <t>01 02 00 00 04 0000 710</t>
  </si>
  <si>
    <t>Бюджетные кредиты от других бюджетов бюджетной системы Российской Федерации</t>
  </si>
  <si>
    <t>01 03 00 00 00 0000 000</t>
  </si>
  <si>
    <t>ГРБС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</si>
  <si>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</si>
  <si>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</si>
  <si>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</si>
  <si>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</si>
  <si>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Дотации бюджетам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</si>
  <si>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</si>
  <si>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</si>
  <si>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</si>
  <si>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</si>
  <si>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</si>
  <si>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</si>
  <si>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</si>
  <si>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</si>
  <si>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Сумма
2020 год</t>
  </si>
  <si>
    <t>Сумма на 2020 год</t>
  </si>
  <si>
    <t>1 16 25060 01 0000 140</t>
  </si>
  <si>
    <t>Денежные взыскания (штрафы) за нарушение земельного законодательства</t>
  </si>
  <si>
    <t>Приложение №15</t>
  </si>
  <si>
    <t>1. Привлечение внутренних заимствований</t>
  </si>
  <si>
    <t xml:space="preserve"> руб.</t>
  </si>
  <si>
    <t>№№ п/п</t>
  </si>
  <si>
    <t>Виды заимствований</t>
  </si>
  <si>
    <t>1.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</si>
  <si>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</si>
  <si>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</si>
  <si>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</si>
  <si>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</si>
  <si>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</si>
  <si>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2. Погашение внутренних заимствований</t>
  </si>
  <si>
    <t>Сумма 2021 год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</si>
  <si>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2020-2021 годы</t>
  </si>
  <si>
    <t>ИСТОЧНИКИ  ФИНАНСИРОВАНИЯ ДЕФИЦИТА БЮДЖЕТА ГОРОДА ЩИГРЫ НА 2020-2021  ГОДЫ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</si>
  <si>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</si>
  <si>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</si>
  <si>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</si>
  <si>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</si>
  <si>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</si>
  <si>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</si>
  <si>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</si>
  <si>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</si>
  <si>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</si>
  <si>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</si>
  <si>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</si>
  <si>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</si>
  <si>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</si>
  <si>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</si>
  <si>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</si>
  <si>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</si>
  <si>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</si>
  <si>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</si>
  <si>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</si>
  <si>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</si>
  <si>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</si>
  <si>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</si>
  <si>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</si>
  <si>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</si>
  <si>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</si>
  <si>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</si>
  <si>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</si>
  <si>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</si>
  <si>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</si>
  <si>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Резервные фонды Администрации Курской области</t>
  </si>
  <si>
    <t>78 1 00 10030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</si>
  <si>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</si>
  <si>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 </t>
  </si>
  <si>
    <t>03 2 02 13050</t>
  </si>
  <si>
    <t>Проведение капитального ремонта муниципальных образовательных организаций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</si>
  <si>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</si>
  <si>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</si>
  <si>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Организация отдыха детей в каникулярное время</t>
  </si>
  <si>
    <t>08 1 01 13540</t>
  </si>
  <si>
    <t>убрать</t>
  </si>
  <si>
    <t>01 3 01 13320</t>
  </si>
  <si>
    <t>Проведение капитального ремонта учреждений культуры</t>
  </si>
  <si>
    <t xml:space="preserve">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</si>
  <si>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</si>
  <si>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</si>
  <si>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</si>
  <si>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</si>
  <si>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</si>
  <si>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</si>
  <si>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</si>
  <si>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</si>
  <si>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</si>
  <si>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</si>
  <si>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</si>
  <si>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</si>
  <si>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Программа муниципальных внутренних заимствований города Щигры на 2020-2021  годы</t>
  </si>
  <si>
    <t>Объем привлечения средств в 2021 г.</t>
  </si>
  <si>
    <t>Объем погашения средств в 2021 г.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</si>
  <si>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</si>
  <si>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</si>
  <si>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Основное мероприятие "Выплата пенсии за выслугу лет и доплат к пенсиям муниципальным служащим"</t>
  </si>
  <si>
    <t>Приложение №4</t>
  </si>
  <si>
    <t>Приложение №6</t>
  </si>
  <si>
    <t>Приложение №8</t>
  </si>
  <si>
    <t>Приложение №10</t>
  </si>
  <si>
    <t>Приложение №14</t>
  </si>
  <si>
    <t>Цель гарантирования</t>
  </si>
  <si>
    <t>Наименование принципала</t>
  </si>
  <si>
    <t>Сумма гарантиро-вания, тыс. руб.</t>
  </si>
  <si>
    <t>Наличие права регрессного требования</t>
  </si>
  <si>
    <t>Наименование кредитора</t>
  </si>
  <si>
    <t>Срок гарантии</t>
  </si>
  <si>
    <t>-</t>
  </si>
  <si>
    <t>Исполнение муниципальных гарантий города Щигры</t>
  </si>
  <si>
    <t>Объем бюджетных ассигнований на исполнение гарантий по возможным гарантийным случаям, тыс. руб.</t>
  </si>
  <si>
    <t>За счет источников финансирования дефицита бюджета</t>
  </si>
  <si>
    <t>0</t>
  </si>
  <si>
    <t>Сумма 2020 год</t>
  </si>
  <si>
    <t>1 03 02250 01 0000 110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</si>
  <si>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</si>
  <si>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1 13 02990 00 0000 130</t>
  </si>
  <si>
    <t>Прочие доходы от компенсации затрат государства</t>
  </si>
  <si>
    <t>2 02 15002 00 0000 150</t>
  </si>
  <si>
    <t>2 02 15002 04 0000 150</t>
  </si>
  <si>
    <t>2 02 20000 00 0000 150</t>
  </si>
  <si>
    <t>2 02 25555 04 0000 150</t>
  </si>
  <si>
    <t>2 02 29999 04 0000 150</t>
  </si>
  <si>
    <t>Субсидии местным бюджетам на реализацию малых проектов в сфере благоустройства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</si>
  <si>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</si>
  <si>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 xml:space="preserve">2 02 35120 00 0000 150 </t>
  </si>
  <si>
    <t xml:space="preserve">2 02 35120 04 0000 150 </t>
  </si>
  <si>
    <t>от  14.12.2018г. №94-6-РД(в ред от 29.10.2019г.)</t>
  </si>
  <si>
    <t>1 01 02050 01 0000 110</t>
  </si>
  <si>
    <t>Капитальные вложения в объекты государственной (муниципальной) собственности"</t>
  </si>
  <si>
    <t>11 1 02 13390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</si>
  <si>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</si>
  <si>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 xml:space="preserve">Основное мероприятие" Реализация малых проектов в сфере благоустройства территорий муниципального образования" </t>
  </si>
  <si>
    <t>07 3 05 00000</t>
  </si>
  <si>
    <t>Реализация малых проектов в сфере благоустройства</t>
  </si>
  <si>
    <t>07 3 05 10090</t>
  </si>
  <si>
    <t>Реализация малых проектов в сфере благоустройства города Щигры</t>
  </si>
  <si>
    <t>07 3 05 S0090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</si>
  <si>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</si>
  <si>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</si>
  <si>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</si>
  <si>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Субсидии местным бюджетам для проведения капитального ремонта муниципальных 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</si>
  <si>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</si>
  <si>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по проведению капитального ремонта учреждений культуры</t>
  </si>
  <si>
    <t>2 07 04050 04 0000 180</t>
  </si>
  <si>
    <t>Охрана окружающей среды</t>
  </si>
  <si>
    <t>Другие вопросы в области охраны окружающей среды</t>
  </si>
  <si>
    <t>07 4 00 00000</t>
  </si>
  <si>
    <t>Основное мероприятие" Реализация проектов в области обращения с отходами"</t>
  </si>
  <si>
    <t>07 4 01 С1457</t>
  </si>
  <si>
    <t>Подпрограмма "Организация деятельности в области обращения с отходами, в том числе с твердыми коммунальными отходами"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</si>
  <si>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</si>
  <si>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r>
      <t>*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Администраторами доходов по подстатьям, статьям, подгруппам группы доходов «2 00 00000 00-безвозмездные поступления» в части доходов от возврата остатков субсидий, субвенций и иных межбюджетных трансфертов, имеющих целевое назначение, прошлых лет являются уполномоченные органы местного самоуправления, а также созданные ими муниципальные казенные  учреждения, предоставившие соответствующие межбюджетные трансферты.</t>
    </r>
  </si>
  <si>
    <r>
      <t>**Главными администраторами доходов, а</t>
    </r>
    <r>
      <rPr>
        <sz val="9"/>
        <rFont val="Arial"/>
        <family val="2"/>
      </rPr>
      <t>дминистраторами доходов по  группе доходов «2 00 00000 00-безвозмездные поступления» (в части доходов, зачисляемых в бюджеты городских округов) являются уполномоченные органы местного самоуправления, а также созданные ими казенные   учреждения.</t>
    </r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</si>
  <si>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</si>
  <si>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</si>
  <si>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</si>
  <si>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</si>
  <si>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</si>
  <si>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</si>
  <si>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</si>
  <si>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</si>
  <si>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</si>
  <si>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</si>
  <si>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</si>
  <si>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</si>
  <si>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</si>
  <si>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</si>
  <si>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</si>
  <si>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</si>
  <si>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Основное мероприятие "Обеспечение деятельности и выполнение функций отдела образования администрации города Щигры"</t>
  </si>
  <si>
    <t>77 2 00 С1416</t>
  </si>
  <si>
    <t>Мероприятия по разработке документов территориального планирования и градостроительного зонирования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</si>
  <si>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</si>
  <si>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</si>
  <si>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</si>
  <si>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</si>
  <si>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</si>
  <si>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</si>
  <si>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</si>
  <si>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</si>
  <si>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</si>
  <si>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</si>
  <si>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Прочие 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</si>
  <si>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</si>
  <si>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</si>
  <si>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</si>
  <si>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2019 год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</si>
  <si>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</si>
  <si>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</si>
  <si>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</si>
  <si>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</si>
  <si>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</si>
  <si>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</si>
  <si>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</si>
  <si>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</si>
  <si>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</si>
  <si>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</si>
  <si>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</si>
  <si>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</si>
  <si>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</si>
  <si>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</si>
  <si>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</si>
  <si>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</si>
  <si>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</si>
  <si>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</si>
  <si>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</si>
  <si>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</si>
  <si>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</si>
  <si>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</si>
  <si>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</si>
  <si>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</si>
  <si>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</si>
  <si>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</si>
  <si>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</si>
  <si>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</si>
  <si>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</si>
  <si>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</si>
  <si>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</si>
  <si>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</si>
  <si>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</si>
  <si>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</si>
  <si>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</si>
  <si>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</si>
  <si>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</si>
  <si>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</si>
  <si>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ПРОГНОЗИРУЕМОЕ ПОСТУПЛЕНИЕ  ДОХОДОВ В БЮДЖЕТ ГОРОДА ЩИГРЫ В 2019 ГОДУ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</si>
  <si>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</si>
  <si>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</si>
  <si>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</si>
  <si>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</si>
  <si>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</si>
  <si>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</si>
  <si>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</si>
  <si>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</si>
  <si>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</si>
  <si>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</si>
  <si>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</si>
  <si>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11 1 02 S3390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</si>
  <si>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</si>
  <si>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77 2 00 12712</t>
  </si>
  <si>
    <t>Коммунальное хозяйство</t>
  </si>
  <si>
    <t>Мероприятия в области коммунального хозяйства</t>
  </si>
  <si>
    <t>Обеспечение функционирования местных администраций</t>
  </si>
  <si>
    <t>03 2 02 L0270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</si>
  <si>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</si>
  <si>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</si>
  <si>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</si>
  <si>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Объем погашения средств в 2020 г.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</si>
  <si>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</si>
  <si>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</si>
  <si>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</si>
  <si>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</si>
  <si>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</si>
  <si>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</si>
  <si>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</si>
  <si>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</si>
  <si>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</si>
  <si>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Закупка товаров, работ и услуг для обеспечения государственных (муниципальных) нужд</t>
  </si>
  <si>
    <t>от  14.12.2018г. №94-6-РД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</si>
  <si>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</si>
  <si>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</si>
  <si>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</si>
  <si>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</si>
  <si>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</si>
  <si>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</si>
  <si>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</si>
  <si>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11 1 02 С1424</t>
  </si>
  <si>
    <t>Муниципальная программа "Профилактика наркомании и медико-социальная реабилитация больных наркоманией в городе Щигры" на 2018-2023 годы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</si>
  <si>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 на 2018-2023 годы</t>
  </si>
  <si>
    <t>22 0 00 00000</t>
  </si>
  <si>
    <t>22 2 00 00000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</si>
  <si>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</si>
  <si>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</si>
  <si>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</si>
  <si>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</si>
  <si>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</si>
  <si>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</si>
  <si>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</si>
  <si>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</si>
  <si>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77 2 00S3604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</si>
  <si>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</si>
  <si>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</si>
  <si>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</si>
  <si>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</si>
  <si>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</si>
  <si>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</si>
  <si>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</si>
  <si>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</si>
  <si>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</si>
  <si>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</si>
  <si>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</si>
  <si>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</si>
  <si>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</si>
  <si>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</si>
  <si>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</si>
  <si>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Основное мероприятие «Реализация мероприятий в области коммунального хозяйства»</t>
  </si>
  <si>
    <t>06 1 01 S3430</t>
  </si>
  <si>
    <t>Мероприятия, связанные с проведением текущего ремонта объектов водоснабжения муниципальной собственности</t>
  </si>
  <si>
    <t>06 1 01 00000</t>
  </si>
  <si>
    <t>Основное мероприятие «Обеспечение населения экологически чистой питьевой водой»</t>
  </si>
  <si>
    <t>06 1 00 00000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</si>
  <si>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</si>
  <si>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</si>
  <si>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07 3 03 С1431</t>
  </si>
  <si>
    <t>07 3 03 00000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</si>
  <si>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</si>
  <si>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</si>
  <si>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</si>
  <si>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</si>
  <si>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</si>
  <si>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</si>
  <si>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</si>
  <si>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</si>
  <si>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</si>
  <si>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</si>
  <si>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77 2 00 С1404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</si>
  <si>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</si>
  <si>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</si>
  <si>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</si>
  <si>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</si>
  <si>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</si>
  <si>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</si>
  <si>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</si>
  <si>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</si>
  <si>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</si>
  <si>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</si>
  <si>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</si>
  <si>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</si>
  <si>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</si>
  <si>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</si>
  <si>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</si>
  <si>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</si>
  <si>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</si>
  <si>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</si>
  <si>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</si>
  <si>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</si>
  <si>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</si>
  <si>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</si>
  <si>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</si>
  <si>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</si>
  <si>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</si>
  <si>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</si>
  <si>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</si>
  <si>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</si>
  <si>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</si>
  <si>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</si>
  <si>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</si>
  <si>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</si>
  <si>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</si>
  <si>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</si>
  <si>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</si>
  <si>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</si>
  <si>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</si>
  <si>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</si>
  <si>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</si>
  <si>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</si>
  <si>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 2 02 С1601</t>
  </si>
  <si>
    <t>Разработка комплексных схем организации дорожного движения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</si>
  <si>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</si>
  <si>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</si>
  <si>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</si>
  <si>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</si>
  <si>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</si>
  <si>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</si>
  <si>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</si>
  <si>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</si>
  <si>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</si>
  <si>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</si>
  <si>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</si>
  <si>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</si>
  <si>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организации проведения мероприятий по отлову и содержанию безнадзорных животных"</t>
  </si>
  <si>
    <t>в т.ч. на организацию проведения мероприятий по отлову и содержанию безнадзорных животных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</si>
  <si>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</si>
  <si>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</si>
  <si>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</si>
  <si>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</si>
  <si>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</si>
  <si>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</si>
  <si>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</si>
  <si>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</si>
  <si>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</si>
  <si>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</si>
  <si>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</si>
  <si>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</si>
  <si>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Приложение №9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</si>
  <si>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</si>
  <si>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</si>
  <si>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</si>
  <si>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</si>
  <si>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</si>
  <si>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</si>
  <si>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>Финансово-экономическое управление администрации города Щигры</t>
  </si>
  <si>
    <t>1 11 03040 04 0000 120</t>
  </si>
  <si>
    <t>Проценты, полученные от предоставления бюджетных кредитов внутри страны за счёт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</si>
  <si>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</si>
  <si>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</si>
  <si>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 xml:space="preserve">002 </t>
  </si>
  <si>
    <t xml:space="preserve">Создание условий для организации досуга и обеспечения жителей  услугами организаций культуры </t>
  </si>
  <si>
    <t>Другие вопросы в области культуры, кинематографии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</si>
  <si>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</si>
  <si>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</si>
  <si>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</si>
  <si>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</si>
  <si>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</si>
  <si>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</si>
  <si>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</si>
  <si>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</si>
  <si>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</si>
  <si>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</si>
  <si>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</si>
  <si>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</si>
  <si>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</si>
  <si>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</si>
  <si>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</si>
  <si>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</si>
  <si>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</si>
  <si>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</si>
  <si>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</si>
  <si>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</si>
  <si>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</si>
  <si>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</si>
  <si>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</si>
  <si>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</si>
  <si>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</si>
  <si>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</si>
  <si>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</si>
  <si>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</si>
  <si>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</si>
  <si>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</si>
  <si>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000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</si>
  <si>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</si>
  <si>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1 16 23041 04 0000 140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</si>
  <si>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</si>
  <si>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</si>
  <si>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</si>
  <si>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</si>
  <si>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</si>
  <si>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03 2 02 S3050</t>
  </si>
  <si>
    <t>Муниципальная програма  "Развитие культуры в городе Щигры"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</si>
  <si>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</si>
  <si>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</si>
  <si>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</si>
  <si>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</si>
  <si>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</si>
  <si>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</si>
  <si>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</si>
  <si>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</si>
  <si>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</si>
  <si>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</si>
  <si>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</si>
  <si>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</si>
  <si>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</si>
  <si>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</si>
  <si>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</si>
  <si>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</si>
  <si>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</si>
  <si>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</si>
  <si>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</si>
  <si>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</si>
  <si>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12 1 01 С1435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</si>
  <si>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</si>
  <si>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</si>
  <si>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</si>
  <si>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</si>
  <si>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 0 F2 00000</t>
  </si>
  <si>
    <t>Основное мероприятие"Формирование комфортной городской среды"</t>
  </si>
  <si>
    <t>21 0 F2 55550</t>
  </si>
  <si>
    <t>Реализация программ формирования современной городской среды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</si>
  <si>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</si>
  <si>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</si>
  <si>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</si>
  <si>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</si>
  <si>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</si>
  <si>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</si>
  <si>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</si>
  <si>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</si>
  <si>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1 12 01041 01 0000 120</t>
  </si>
  <si>
    <t>Плата за размещение отходов производства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</si>
  <si>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</si>
  <si>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</si>
  <si>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1 16 21040 04 0000 140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</si>
  <si>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</si>
  <si>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</si>
  <si>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Cубсидии бюджетам субъектов Российской Федерации и муниципальных образований (межбюджетные субсидии)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</si>
  <si>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</si>
  <si>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2 02 25027 04 0000 150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</si>
  <si>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</si>
  <si>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</si>
  <si>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</si>
  <si>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</si>
  <si>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</si>
  <si>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</si>
  <si>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</si>
  <si>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</si>
  <si>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</si>
  <si>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</si>
  <si>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 пунктами 1 и 2, статьи 120, статьями 125,126,128, 129, 129.1,132,133,134,135,135.1 Налогового кодекса Российской Федерации</t>
  </si>
  <si>
    <t>1 16 03030 01 0000 140</t>
  </si>
  <si>
    <t>2 07 00000 00 0000 000</t>
  </si>
  <si>
    <t>Прочие безвозмездные поступления</t>
  </si>
  <si>
    <t>2 18 00000 00 0000 000</t>
  </si>
  <si>
    <t>2 19 00000 00 0000 000</t>
  </si>
  <si>
    <t>Иные доходы бюджета города Щигры, администрирование которых может осуществляться главными администраторами доходов бюджета города Щигры в пределах их компетенции</t>
  </si>
  <si>
    <t>1 08 07173 01 0000 110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</si>
  <si>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</si>
  <si>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</si>
  <si>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</si>
  <si>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</si>
  <si>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1 11 08040 04 0000 120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</si>
  <si>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</si>
  <si>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</si>
  <si>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1 14 01040 04 0000 410</t>
  </si>
  <si>
    <t>Доходы от продажи квартир, находящихся в собственности городских округов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</si>
  <si>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</si>
  <si>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</si>
  <si>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</si>
  <si>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</si>
  <si>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</si>
  <si>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</si>
  <si>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</si>
  <si>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</si>
  <si>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</si>
  <si>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</si>
  <si>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</si>
  <si>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Условно утвержденные расходы</t>
  </si>
  <si>
    <t>Приложение №16</t>
  </si>
  <si>
    <t>Объем привлечения средств в 2019 г.</t>
  </si>
  <si>
    <t>Объем погашения средств в 2019 г.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</si>
  <si>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</si>
  <si>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</si>
  <si>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</si>
  <si>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2 02 40000 00 0000 150</t>
  </si>
  <si>
    <t>Иные межбюджетные трансферты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</si>
  <si>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</si>
  <si>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</si>
  <si>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</si>
  <si>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</si>
  <si>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</si>
  <si>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</si>
  <si>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</si>
  <si>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</si>
  <si>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Итого источники  финансирования дефицитов бюджетов</t>
  </si>
  <si>
    <t>05</t>
  </si>
  <si>
    <t>07</t>
  </si>
  <si>
    <t>Получение кредитов от кредитных организаций бюджетами городских округов в валюте Российской Федерации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</si>
  <si>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</si>
  <si>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</si>
  <si>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</si>
  <si>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</si>
  <si>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</si>
  <si>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</si>
  <si>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</si>
  <si>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</si>
  <si>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</si>
  <si>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</si>
  <si>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</si>
  <si>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</si>
  <si>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</si>
  <si>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</si>
  <si>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</si>
  <si>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</si>
  <si>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</si>
  <si>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</si>
  <si>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</si>
  <si>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</si>
  <si>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</si>
  <si>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1 13 01994 04 0000 130</t>
  </si>
  <si>
    <t>1 14 00000 00 0000 000</t>
  </si>
  <si>
    <t>Доходы от продажи материальных и нематериальных активов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</si>
  <si>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</si>
  <si>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</si>
  <si>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</si>
  <si>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</si>
  <si>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</si>
  <si>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</si>
  <si>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Мероприятия государственной программы Российской Федерации «Доступная среда» на 2011 - 2020 годы</t>
  </si>
  <si>
    <t>Обеспечение доступности качественного образования</t>
  </si>
  <si>
    <t xml:space="preserve">                           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</si>
  <si>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2019 год</t>
  </si>
  <si>
    <t>Программа муниципальных внутренних заимствований города Щигры на 2019 год</t>
  </si>
  <si>
    <t>ИСТОЧНИКИ  ФИНАНСИРОВАНИЯ ДЕФИЦИТА БЮДЖЕТА ГОРОДА ЩИГРЫ НА 2019 ГОД</t>
  </si>
  <si>
    <t>Ведомственная структура расходов бюджета города Щигры на 2019 год</t>
  </si>
  <si>
    <t>78 1 00 С1403</t>
  </si>
  <si>
    <t>02 0 00 00000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</si>
  <si>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</si>
  <si>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</si>
  <si>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</si>
  <si>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</si>
  <si>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</si>
  <si>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</si>
  <si>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</si>
  <si>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</si>
  <si>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</si>
  <si>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</si>
  <si>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</si>
  <si>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</si>
  <si>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</si>
  <si>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</si>
  <si>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</si>
  <si>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</si>
  <si>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</si>
  <si>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</si>
  <si>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</si>
  <si>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</si>
  <si>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</si>
  <si>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</si>
  <si>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</si>
  <si>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13 2 01 С1401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</si>
  <si>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</si>
  <si>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</si>
  <si>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</si>
  <si>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</si>
  <si>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</si>
  <si>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</si>
  <si>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</si>
  <si>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Приложение №13</t>
  </si>
  <si>
    <t>Приложение №11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</si>
  <si>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</si>
  <si>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</si>
  <si>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</si>
  <si>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</si>
  <si>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</si>
  <si>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</si>
  <si>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</si>
  <si>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</si>
  <si>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</si>
  <si>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</si>
  <si>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Организация проведения мероприятий по отлову и содержанию безнадзорных животных</t>
  </si>
  <si>
    <t>77 2 00 12700</t>
  </si>
  <si>
    <t>Обеспечение проведения капитального ремонта учреждений культуры</t>
  </si>
  <si>
    <t>01 3 01 S3320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</si>
  <si>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</si>
  <si>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</si>
  <si>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</si>
  <si>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</si>
  <si>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</si>
  <si>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</si>
  <si>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</si>
  <si>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</si>
  <si>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</si>
  <si>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</si>
  <si>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</si>
  <si>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</si>
  <si>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</si>
  <si>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</si>
  <si>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</si>
  <si>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</si>
  <si>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области"</t>
  </si>
  <si>
    <t xml:space="preserve">Муниципальная программа "Профилактика наркомании и медико-социальная реабилитация больных наркоманией в городе Щигры" </t>
  </si>
  <si>
    <t xml:space="preserve"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 </t>
  </si>
  <si>
    <t xml:space="preserve">Мероприятия государственной программы Российской Федерации «Доступная среда»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</si>
  <si>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</si>
  <si>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</t>
  </si>
  <si>
    <t>Муниципальная программа "Профилактика наркомании и медико-социальная реабилитация больных наркоманией в городе Щигры"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</si>
  <si>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</si>
  <si>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</si>
  <si>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</si>
  <si>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</si>
  <si>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</si>
  <si>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</si>
  <si>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</si>
  <si>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</si>
  <si>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</si>
  <si>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 табачной продукции</t>
  </si>
  <si>
    <t>1 16 25000 00 0000 140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</si>
  <si>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</si>
  <si>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</si>
  <si>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</si>
  <si>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</si>
  <si>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</si>
  <si>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</si>
  <si>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</si>
  <si>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</si>
  <si>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</si>
  <si>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</si>
  <si>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</si>
  <si>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12 1 01 13180</t>
  </si>
  <si>
    <t>Основное мероприятие "Обеспечение деятельности комиссии по делам несовершеннолетних и защите их прав"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</si>
  <si>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</si>
  <si>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</si>
  <si>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</si>
  <si>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</si>
  <si>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</si>
  <si>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</si>
  <si>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</si>
  <si>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</si>
  <si>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</si>
  <si>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</si>
  <si>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</si>
  <si>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</si>
  <si>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</si>
  <si>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</si>
  <si>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>Плата за пользование водными объектами, находящимися в собственности городских округов</t>
  </si>
  <si>
    <t>1 12 05040 04 0000 120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</si>
  <si>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</si>
  <si>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1 14 02048 04 0000 410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</si>
  <si>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</si>
  <si>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1 14 06044 04 0000 430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</si>
  <si>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</si>
  <si>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</si>
  <si>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</si>
  <si>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</si>
  <si>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</si>
  <si>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</si>
  <si>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Прочие доходы от компенсации затрат бюджетов городских округов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</si>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</sst>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0.000"/>
    <numFmt numFmtId="175" formatCode="0.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0.00000"/>
    <numFmt numFmtId="198" formatCode="000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22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3"/>
      <name val="Times New Roman"/>
      <family val="1"/>
    </font>
    <font>
      <sz val="8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3" fillId="12" borderId="1" applyNumberFormat="0" applyAlignment="0" applyProtection="0"/>
    <xf numFmtId="0" fontId="3" fillId="5" borderId="1" applyNumberFormat="0" applyAlignment="0" applyProtection="0"/>
    <xf numFmtId="0" fontId="4" fillId="35" borderId="2" applyNumberFormat="0" applyAlignment="0" applyProtection="0"/>
    <xf numFmtId="0" fontId="4" fillId="18" borderId="2" applyNumberFormat="0" applyAlignment="0" applyProtection="0"/>
    <xf numFmtId="0" fontId="5" fillId="35" borderId="1" applyNumberFormat="0" applyAlignment="0" applyProtection="0"/>
    <xf numFmtId="0" fontId="5" fillId="18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44" fillId="0" borderId="4" applyNumberFormat="0" applyFill="0" applyAlignment="0" applyProtection="0"/>
    <xf numFmtId="0" fontId="7" fillId="0" borderId="5" applyNumberFormat="0" applyFill="0" applyAlignment="0" applyProtection="0"/>
    <xf numFmtId="0" fontId="45" fillId="0" borderId="6" applyNumberFormat="0" applyFill="0" applyAlignment="0" applyProtection="0"/>
    <xf numFmtId="0" fontId="8" fillId="0" borderId="7" applyNumberFormat="0" applyFill="0" applyAlignment="0" applyProtection="0"/>
    <xf numFmtId="0" fontId="4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10" fillId="36" borderId="11" applyNumberFormat="0" applyAlignment="0" applyProtection="0"/>
    <xf numFmtId="0" fontId="10" fillId="31" borderId="11" applyNumberFormat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34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4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9" borderId="12" applyNumberFormat="0" applyAlignment="0" applyProtection="0"/>
    <xf numFmtId="0" fontId="1" fillId="9" borderId="12" applyNumberFormat="0" applyFont="0" applyAlignment="0" applyProtection="0"/>
    <xf numFmtId="9" fontId="0" fillId="0" borderId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</cellStyleXfs>
  <cellXfs count="65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98" applyFont="1" applyBorder="1" applyAlignment="1">
      <alignment vertical="center" wrapText="1"/>
      <protection/>
    </xf>
    <xf numFmtId="0" fontId="0" fillId="0" borderId="0" xfId="98" applyFont="1">
      <alignment/>
      <protection/>
    </xf>
    <xf numFmtId="0" fontId="0" fillId="0" borderId="0" xfId="98" applyFont="1" applyAlignment="1">
      <alignment horizontal="right"/>
      <protection/>
    </xf>
    <xf numFmtId="49" fontId="0" fillId="0" borderId="0" xfId="98" applyNumberFormat="1" applyFont="1" applyAlignment="1">
      <alignment horizontal="right"/>
      <protection/>
    </xf>
    <xf numFmtId="0" fontId="19" fillId="0" borderId="15" xfId="98" applyFont="1" applyBorder="1" applyAlignment="1">
      <alignment horizontal="center" vertical="center" wrapText="1"/>
      <protection/>
    </xf>
    <xf numFmtId="0" fontId="0" fillId="0" borderId="14" xfId="98" applyFont="1" applyBorder="1" applyAlignment="1">
      <alignment horizontal="center" vertical="top" wrapText="1"/>
      <protection/>
    </xf>
    <xf numFmtId="0" fontId="20" fillId="0" borderId="16" xfId="98" applyFont="1" applyBorder="1" applyAlignment="1">
      <alignment vertical="center" wrapText="1"/>
      <protection/>
    </xf>
    <xf numFmtId="0" fontId="0" fillId="0" borderId="14" xfId="98" applyFont="1" applyBorder="1" applyAlignment="1">
      <alignment vertical="top" wrapText="1"/>
      <protection/>
    </xf>
    <xf numFmtId="0" fontId="0" fillId="0" borderId="17" xfId="98" applyFont="1" applyBorder="1" applyAlignment="1">
      <alignment horizontal="center" vertical="top" wrapText="1"/>
      <protection/>
    </xf>
    <xf numFmtId="0" fontId="0" fillId="0" borderId="17" xfId="98" applyFont="1" applyBorder="1" applyAlignment="1">
      <alignment vertical="top" wrapText="1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8" xfId="0" applyNumberFormat="1" applyFont="1" applyBorder="1" applyAlignment="1">
      <alignment horizontal="center" vertical="top" wrapText="1"/>
    </xf>
    <xf numFmtId="0" fontId="26" fillId="0" borderId="14" xfId="91" applyFont="1" applyFill="1" applyBorder="1" applyAlignment="1">
      <alignment horizontal="left" wrapText="1"/>
      <protection/>
    </xf>
    <xf numFmtId="0" fontId="24" fillId="0" borderId="14" xfId="91" applyFont="1" applyFill="1" applyBorder="1" applyAlignment="1">
      <alignment horizontal="left" wrapText="1"/>
      <protection/>
    </xf>
    <xf numFmtId="197" fontId="0" fillId="0" borderId="0" xfId="98" applyNumberFormat="1" applyFont="1">
      <alignment/>
      <protection/>
    </xf>
    <xf numFmtId="49" fontId="0" fillId="0" borderId="18" xfId="97" applyNumberFormat="1" applyFont="1" applyBorder="1" applyAlignment="1">
      <alignment horizontal="center" vertical="top" wrapText="1"/>
      <protection/>
    </xf>
    <xf numFmtId="49" fontId="0" fillId="0" borderId="18" xfId="97" applyNumberFormat="1" applyFont="1" applyBorder="1" applyAlignment="1">
      <alignment vertical="top" wrapText="1"/>
      <protection/>
    </xf>
    <xf numFmtId="1" fontId="0" fillId="0" borderId="0" xfId="98" applyNumberFormat="1" applyFont="1">
      <alignment/>
      <protection/>
    </xf>
    <xf numFmtId="49" fontId="0" fillId="0" borderId="0" xfId="98" applyNumberFormat="1" applyFont="1" applyBorder="1" applyAlignment="1">
      <alignment horizontal="right"/>
      <protection/>
    </xf>
    <xf numFmtId="0" fontId="0" fillId="0" borderId="14" xfId="0" applyFont="1" applyBorder="1" applyAlignment="1">
      <alignment wrapText="1"/>
    </xf>
    <xf numFmtId="0" fontId="0" fillId="40" borderId="14" xfId="0" applyFill="1" applyBorder="1" applyAlignment="1">
      <alignment vertical="top" wrapText="1"/>
    </xf>
    <xf numFmtId="0" fontId="0" fillId="40" borderId="14" xfId="0" applyFont="1" applyFill="1" applyBorder="1" applyAlignment="1">
      <alignment vertical="top" wrapText="1"/>
    </xf>
    <xf numFmtId="0" fontId="24" fillId="0" borderId="14" xfId="0" applyFont="1" applyBorder="1" applyAlignment="1">
      <alignment wrapText="1"/>
    </xf>
    <xf numFmtId="0" fontId="24" fillId="7" borderId="14" xfId="0" applyFont="1" applyFill="1" applyBorder="1" applyAlignment="1">
      <alignment wrapText="1"/>
    </xf>
    <xf numFmtId="0" fontId="0" fillId="40" borderId="14" xfId="0" applyFont="1" applyFill="1" applyBorder="1" applyAlignment="1">
      <alignment vertical="top" wrapText="1"/>
    </xf>
    <xf numFmtId="0" fontId="32" fillId="0" borderId="14" xfId="0" applyFont="1" applyBorder="1" applyAlignment="1">
      <alignment wrapText="1"/>
    </xf>
    <xf numFmtId="0" fontId="26" fillId="7" borderId="14" xfId="91" applyFont="1" applyFill="1" applyBorder="1" applyAlignment="1">
      <alignment horizontal="left" wrapText="1"/>
      <protection/>
    </xf>
    <xf numFmtId="198" fontId="0" fillId="7" borderId="14" xfId="89" applyNumberFormat="1" applyFont="1" applyFill="1" applyBorder="1" applyAlignment="1" applyProtection="1">
      <alignment horizontal="left" wrapText="1"/>
      <protection hidden="1"/>
    </xf>
    <xf numFmtId="0" fontId="0" fillId="7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justify" wrapText="1"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vertical="top" wrapText="1"/>
    </xf>
    <xf numFmtId="0" fontId="3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" fontId="21" fillId="0" borderId="16" xfId="98" applyNumberFormat="1" applyFont="1" applyBorder="1" applyAlignment="1">
      <alignment horizontal="center" vertical="center" wrapText="1"/>
      <protection/>
    </xf>
    <xf numFmtId="2" fontId="21" fillId="0" borderId="14" xfId="98" applyNumberFormat="1" applyFont="1" applyBorder="1" applyAlignment="1">
      <alignment horizontal="center" vertical="center" wrapText="1"/>
      <protection/>
    </xf>
    <xf numFmtId="2" fontId="0" fillId="0" borderId="14" xfId="98" applyNumberFormat="1" applyFont="1" applyBorder="1" applyAlignment="1">
      <alignment horizontal="center" vertical="center" wrapText="1"/>
      <protection/>
    </xf>
    <xf numFmtId="2" fontId="21" fillId="0" borderId="14" xfId="98" applyNumberFormat="1" applyFont="1" applyBorder="1" applyAlignment="1">
      <alignment horizontal="center" vertical="top" wrapText="1"/>
      <protection/>
    </xf>
    <xf numFmtId="49" fontId="0" fillId="0" borderId="0" xfId="0" applyNumberFormat="1" applyFont="1" applyAlignment="1">
      <alignment/>
    </xf>
    <xf numFmtId="49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top" wrapText="1"/>
    </xf>
    <xf numFmtId="172" fontId="0" fillId="0" borderId="25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26" xfId="0" applyFont="1" applyBorder="1" applyAlignment="1">
      <alignment vertical="top" wrapText="1"/>
    </xf>
    <xf numFmtId="3" fontId="20" fillId="0" borderId="26" xfId="0" applyNumberFormat="1" applyFont="1" applyBorder="1" applyAlignment="1">
      <alignment horizontal="right" vertical="top" wrapText="1"/>
    </xf>
    <xf numFmtId="0" fontId="0" fillId="0" borderId="27" xfId="0" applyFont="1" applyBorder="1" applyAlignment="1">
      <alignment vertical="top" wrapText="1"/>
    </xf>
    <xf numFmtId="0" fontId="0" fillId="0" borderId="27" xfId="0" applyFont="1" applyBorder="1" applyAlignment="1">
      <alignment horizontal="right" vertical="top" wrapText="1"/>
    </xf>
    <xf numFmtId="4" fontId="0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centerContinuous" wrapText="1"/>
    </xf>
    <xf numFmtId="49" fontId="0" fillId="0" borderId="0" xfId="0" applyNumberFormat="1" applyFont="1" applyAlignment="1">
      <alignment horizontal="center"/>
    </xf>
    <xf numFmtId="49" fontId="19" fillId="0" borderId="24" xfId="0" applyNumberFormat="1" applyFont="1" applyBorder="1" applyAlignment="1">
      <alignment horizontal="centerContinuous" vertical="center" wrapText="1"/>
    </xf>
    <xf numFmtId="49" fontId="38" fillId="0" borderId="24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vertical="top" wrapText="1"/>
    </xf>
    <xf numFmtId="49" fontId="20" fillId="0" borderId="27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vertical="top" wrapText="1"/>
    </xf>
    <xf numFmtId="49" fontId="20" fillId="0" borderId="18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justify" wrapText="1"/>
    </xf>
    <xf numFmtId="0" fontId="39" fillId="0" borderId="0" xfId="0" applyFont="1" applyAlignment="1">
      <alignment horizontal="centerContinuous" wrapText="1"/>
    </xf>
    <xf numFmtId="1" fontId="21" fillId="0" borderId="16" xfId="98" applyNumberFormat="1" applyFont="1" applyBorder="1" applyAlignment="1">
      <alignment horizontal="center" vertical="center" wrapText="1"/>
      <protection/>
    </xf>
    <xf numFmtId="1" fontId="21" fillId="0" borderId="14" xfId="98" applyNumberFormat="1" applyFont="1" applyBorder="1" applyAlignment="1">
      <alignment horizontal="center" vertical="center" wrapText="1"/>
      <protection/>
    </xf>
    <xf numFmtId="1" fontId="0" fillId="0" borderId="14" xfId="98" applyNumberFormat="1" applyFont="1" applyBorder="1" applyAlignment="1">
      <alignment horizontal="center" vertical="center" wrapText="1"/>
      <protection/>
    </xf>
    <xf numFmtId="0" fontId="0" fillId="0" borderId="14" xfId="98" applyNumberFormat="1" applyFont="1" applyBorder="1" applyAlignment="1">
      <alignment horizontal="center" vertical="center" wrapText="1"/>
      <protection/>
    </xf>
    <xf numFmtId="1" fontId="21" fillId="0" borderId="14" xfId="98" applyNumberFormat="1" applyFont="1" applyBorder="1" applyAlignment="1">
      <alignment horizontal="center" vertical="top" wrapText="1"/>
      <protection/>
    </xf>
    <xf numFmtId="1" fontId="0" fillId="0" borderId="14" xfId="98" applyNumberFormat="1" applyFont="1" applyBorder="1" applyAlignment="1">
      <alignment horizontal="center" vertical="top" wrapText="1"/>
      <protection/>
    </xf>
    <xf numFmtId="1" fontId="21" fillId="0" borderId="17" xfId="98" applyNumberFormat="1" applyFont="1" applyBorder="1" applyAlignment="1">
      <alignment horizontal="center" vertical="top" wrapText="1"/>
      <protection/>
    </xf>
    <xf numFmtId="49" fontId="19" fillId="0" borderId="29" xfId="0" applyNumberFormat="1" applyFont="1" applyBorder="1" applyAlignment="1">
      <alignment horizontal="center" vertical="top" wrapText="1"/>
    </xf>
    <xf numFmtId="49" fontId="20" fillId="7" borderId="27" xfId="0" applyNumberFormat="1" applyFont="1" applyFill="1" applyBorder="1" applyAlignment="1">
      <alignment vertical="top" wrapText="1"/>
    </xf>
    <xf numFmtId="0" fontId="20" fillId="0" borderId="27" xfId="0" applyFont="1" applyFill="1" applyBorder="1" applyAlignment="1">
      <alignment/>
    </xf>
    <xf numFmtId="49" fontId="20" fillId="7" borderId="18" xfId="0" applyNumberFormat="1" applyFont="1" applyFill="1" applyBorder="1" applyAlignment="1">
      <alignment vertical="top" wrapText="1"/>
    </xf>
    <xf numFmtId="0" fontId="2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justify"/>
    </xf>
    <xf numFmtId="0" fontId="0" fillId="0" borderId="18" xfId="0" applyFont="1" applyFill="1" applyBorder="1" applyAlignment="1">
      <alignment horizontal="left" wrapText="1" indent="2"/>
    </xf>
    <xf numFmtId="0" fontId="0" fillId="0" borderId="18" xfId="0" applyFont="1" applyFill="1" applyBorder="1" applyAlignment="1">
      <alignment horizontal="left" wrapText="1"/>
    </xf>
    <xf numFmtId="0" fontId="23" fillId="0" borderId="18" xfId="0" applyFont="1" applyBorder="1" applyAlignment="1">
      <alignment horizontal="left" wrapText="1" indent="2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96" applyFont="1">
      <alignment/>
      <protection/>
    </xf>
    <xf numFmtId="49" fontId="0" fillId="0" borderId="0" xfId="96" applyNumberFormat="1" applyFont="1" applyAlignment="1">
      <alignment horizontal="right"/>
      <protection/>
    </xf>
    <xf numFmtId="49" fontId="0" fillId="0" borderId="0" xfId="96" applyNumberFormat="1" applyFont="1" applyAlignment="1">
      <alignment horizontal="centerContinuous" wrapText="1"/>
      <protection/>
    </xf>
    <xf numFmtId="49" fontId="0" fillId="0" borderId="0" xfId="96" applyNumberFormat="1" applyFont="1" applyAlignment="1">
      <alignment horizontal="center"/>
      <protection/>
    </xf>
    <xf numFmtId="49" fontId="0" fillId="0" borderId="0" xfId="96" applyNumberFormat="1" applyFont="1">
      <alignment/>
      <protection/>
    </xf>
    <xf numFmtId="49" fontId="19" fillId="0" borderId="24" xfId="96" applyNumberFormat="1" applyFont="1" applyBorder="1" applyAlignment="1">
      <alignment horizontal="center" vertical="center" wrapText="1"/>
      <protection/>
    </xf>
    <xf numFmtId="49" fontId="19" fillId="0" borderId="24" xfId="96" applyNumberFormat="1" applyFont="1" applyBorder="1" applyAlignment="1">
      <alignment horizontal="center" vertical="top" wrapText="1"/>
      <protection/>
    </xf>
    <xf numFmtId="49" fontId="20" fillId="0" borderId="27" xfId="96" applyNumberFormat="1" applyFont="1" applyBorder="1" applyAlignment="1">
      <alignment horizontal="center" vertical="top" wrapText="1"/>
      <protection/>
    </xf>
    <xf numFmtId="49" fontId="20" fillId="0" borderId="27" xfId="96" applyNumberFormat="1" applyFont="1" applyBorder="1" applyAlignment="1">
      <alignment vertical="top" wrapText="1"/>
      <protection/>
    </xf>
    <xf numFmtId="49" fontId="0" fillId="0" borderId="18" xfId="96" applyNumberFormat="1" applyFont="1" applyBorder="1" applyAlignment="1">
      <alignment horizontal="center" vertical="top" wrapText="1"/>
      <protection/>
    </xf>
    <xf numFmtId="49" fontId="20" fillId="0" borderId="18" xfId="96" applyNumberFormat="1" applyFont="1" applyBorder="1" applyAlignment="1">
      <alignment horizontal="center" vertical="top" wrapText="1"/>
      <protection/>
    </xf>
    <xf numFmtId="49" fontId="20" fillId="0" borderId="18" xfId="96" applyNumberFormat="1" applyFont="1" applyBorder="1" applyAlignment="1">
      <alignment vertical="top" wrapText="1"/>
      <protection/>
    </xf>
    <xf numFmtId="49" fontId="0" fillId="0" borderId="18" xfId="96" applyNumberFormat="1" applyFont="1" applyBorder="1" applyAlignment="1">
      <alignment vertical="top" wrapText="1"/>
      <protection/>
    </xf>
    <xf numFmtId="49" fontId="0" fillId="0" borderId="26" xfId="96" applyNumberFormat="1" applyFont="1" applyBorder="1" applyAlignment="1">
      <alignment horizontal="center" vertical="top" wrapText="1"/>
      <protection/>
    </xf>
    <xf numFmtId="49" fontId="0" fillId="0" borderId="26" xfId="96" applyNumberFormat="1" applyFont="1" applyBorder="1" applyAlignment="1">
      <alignment vertical="top" wrapText="1"/>
      <protection/>
    </xf>
    <xf numFmtId="0" fontId="0" fillId="0" borderId="14" xfId="0" applyFont="1" applyFill="1" applyBorder="1" applyAlignment="1">
      <alignment horizontal="justify" wrapText="1"/>
    </xf>
    <xf numFmtId="49" fontId="20" fillId="0" borderId="0" xfId="96" applyNumberFormat="1" applyFont="1" applyAlignment="1">
      <alignment horizontal="center"/>
      <protection/>
    </xf>
    <xf numFmtId="49" fontId="20" fillId="0" borderId="0" xfId="96" applyNumberFormat="1" applyFont="1" applyAlignment="1">
      <alignment horizontal="centerContinuous" wrapText="1"/>
      <protection/>
    </xf>
    <xf numFmtId="49" fontId="0" fillId="0" borderId="27" xfId="96" applyNumberFormat="1" applyFont="1" applyBorder="1" applyAlignment="1">
      <alignment vertical="top" wrapText="1"/>
      <protection/>
    </xf>
    <xf numFmtId="49" fontId="0" fillId="0" borderId="27" xfId="96" applyNumberFormat="1" applyFont="1" applyBorder="1" applyAlignment="1">
      <alignment horizontal="center" vertical="top" wrapText="1"/>
      <protection/>
    </xf>
    <xf numFmtId="0" fontId="41" fillId="0" borderId="0" xfId="96" applyFont="1">
      <alignment/>
      <protection/>
    </xf>
    <xf numFmtId="0" fontId="0" fillId="0" borderId="30" xfId="0" applyFill="1" applyBorder="1" applyAlignment="1">
      <alignment vertical="top" wrapText="1"/>
    </xf>
    <xf numFmtId="0" fontId="0" fillId="0" borderId="30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24" fillId="0" borderId="30" xfId="0" applyFont="1" applyFill="1" applyBorder="1" applyAlignment="1">
      <alignment wrapText="1"/>
    </xf>
    <xf numFmtId="49" fontId="0" fillId="0" borderId="0" xfId="0" applyNumberFormat="1" applyFont="1" applyFill="1" applyAlignment="1">
      <alignment horizontal="right"/>
    </xf>
    <xf numFmtId="0" fontId="0" fillId="0" borderId="31" xfId="0" applyFill="1" applyBorder="1" applyAlignment="1">
      <alignment vertical="top" wrapText="1"/>
    </xf>
    <xf numFmtId="0" fontId="32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wrapText="1"/>
    </xf>
    <xf numFmtId="0" fontId="0" fillId="40" borderId="31" xfId="0" applyFill="1" applyBorder="1" applyAlignment="1">
      <alignment vertical="top" wrapText="1"/>
    </xf>
    <xf numFmtId="0" fontId="24" fillId="0" borderId="31" xfId="0" applyFont="1" applyFill="1" applyBorder="1" applyAlignment="1">
      <alignment wrapText="1"/>
    </xf>
    <xf numFmtId="198" fontId="0" fillId="7" borderId="31" xfId="89" applyNumberFormat="1" applyFont="1" applyFill="1" applyBorder="1" applyAlignment="1" applyProtection="1">
      <alignment horizontal="left" wrapText="1"/>
      <protection hidden="1"/>
    </xf>
    <xf numFmtId="0" fontId="0" fillId="0" borderId="32" xfId="0" applyFont="1" applyFill="1" applyBorder="1" applyAlignment="1">
      <alignment wrapText="1"/>
    </xf>
    <xf numFmtId="198" fontId="0" fillId="0" borderId="32" xfId="89" applyNumberFormat="1" applyFont="1" applyFill="1" applyBorder="1" applyAlignment="1" applyProtection="1">
      <alignment horizontal="left" wrapText="1"/>
      <protection hidden="1"/>
    </xf>
    <xf numFmtId="0" fontId="0" fillId="0" borderId="31" xfId="0" applyFont="1" applyBorder="1" applyAlignment="1">
      <alignment wrapText="1"/>
    </xf>
    <xf numFmtId="0" fontId="0" fillId="0" borderId="31" xfId="0" applyFont="1" applyFill="1" applyBorder="1" applyAlignment="1">
      <alignment horizontal="justify" wrapText="1"/>
    </xf>
    <xf numFmtId="49" fontId="0" fillId="0" borderId="33" xfId="0" applyNumberFormat="1" applyFont="1" applyBorder="1" applyAlignment="1">
      <alignment vertical="top" wrapText="1"/>
    </xf>
    <xf numFmtId="172" fontId="0" fillId="0" borderId="0" xfId="0" applyNumberFormat="1" applyFont="1" applyFill="1" applyAlignment="1">
      <alignment/>
    </xf>
    <xf numFmtId="0" fontId="20" fillId="0" borderId="34" xfId="0" applyFont="1" applyBorder="1" applyAlignment="1">
      <alignment vertical="top" wrapText="1"/>
    </xf>
    <xf numFmtId="49" fontId="20" fillId="0" borderId="35" xfId="0" applyNumberFormat="1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49" fontId="20" fillId="0" borderId="36" xfId="0" applyNumberFormat="1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49" fontId="0" fillId="0" borderId="36" xfId="0" applyNumberFormat="1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6" xfId="0" applyFont="1" applyBorder="1" applyAlignment="1">
      <alignment horizontal="justify" vertical="top" wrapText="1"/>
    </xf>
    <xf numFmtId="0" fontId="0" fillId="0" borderId="36" xfId="0" applyFont="1" applyFill="1" applyBorder="1" applyAlignment="1">
      <alignment horizontal="justify" vertical="top" wrapText="1"/>
    </xf>
    <xf numFmtId="0" fontId="0" fillId="0" borderId="33" xfId="0" applyFont="1" applyBorder="1" applyAlignment="1">
      <alignment vertical="top" wrapText="1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 wrapText="1" indent="2"/>
    </xf>
    <xf numFmtId="49" fontId="20" fillId="0" borderId="37" xfId="0" applyNumberFormat="1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49" fontId="20" fillId="0" borderId="32" xfId="0" applyNumberFormat="1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justify" vertical="top" wrapText="1"/>
    </xf>
    <xf numFmtId="0" fontId="0" fillId="0" borderId="30" xfId="0" applyFont="1" applyFill="1" applyBorder="1" applyAlignment="1">
      <alignment horizontal="justify" vertical="top" wrapText="1"/>
    </xf>
    <xf numFmtId="49" fontId="0" fillId="0" borderId="39" xfId="0" applyNumberFormat="1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36" xfId="0" applyNumberFormat="1" applyFont="1" applyBorder="1" applyAlignment="1">
      <alignment vertical="top" wrapText="1"/>
    </xf>
    <xf numFmtId="0" fontId="0" fillId="0" borderId="18" xfId="0" applyNumberFormat="1" applyFont="1" applyBorder="1" applyAlignment="1">
      <alignment vertical="top" wrapText="1"/>
    </xf>
    <xf numFmtId="4" fontId="20" fillId="0" borderId="41" xfId="0" applyNumberFormat="1" applyFont="1" applyBorder="1" applyAlignment="1">
      <alignment horizontal="right" vertical="top"/>
    </xf>
    <xf numFmtId="4" fontId="35" fillId="0" borderId="35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/>
    </xf>
    <xf numFmtId="4" fontId="0" fillId="0" borderId="36" xfId="0" applyNumberFormat="1" applyFont="1" applyBorder="1" applyAlignment="1">
      <alignment horizontal="right" vertical="top"/>
    </xf>
    <xf numFmtId="4" fontId="21" fillId="0" borderId="36" xfId="0" applyNumberFormat="1" applyFont="1" applyBorder="1" applyAlignment="1">
      <alignment horizontal="right" vertical="top"/>
    </xf>
    <xf numFmtId="4" fontId="35" fillId="0" borderId="36" xfId="0" applyNumberFormat="1" applyFont="1" applyBorder="1" applyAlignment="1">
      <alignment horizontal="right" vertical="top"/>
    </xf>
    <xf numFmtId="4" fontId="0" fillId="0" borderId="36" xfId="0" applyNumberFormat="1" applyFont="1" applyFill="1" applyBorder="1" applyAlignment="1">
      <alignment horizontal="right" vertical="top"/>
    </xf>
    <xf numFmtId="4" fontId="0" fillId="0" borderId="33" xfId="0" applyNumberFormat="1" applyFont="1" applyBorder="1" applyAlignment="1">
      <alignment horizontal="right" vertical="top"/>
    </xf>
    <xf numFmtId="4" fontId="20" fillId="0" borderId="27" xfId="0" applyNumberFormat="1" applyFont="1" applyFill="1" applyBorder="1" applyAlignment="1">
      <alignment/>
    </xf>
    <xf numFmtId="4" fontId="20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35" fillId="0" borderId="42" xfId="0" applyNumberFormat="1" applyFont="1" applyBorder="1" applyAlignment="1">
      <alignment horizontal="right" vertical="top"/>
    </xf>
    <xf numFmtId="4" fontId="20" fillId="0" borderId="43" xfId="0" applyNumberFormat="1" applyFont="1" applyBorder="1" applyAlignment="1">
      <alignment horizontal="right" vertical="top"/>
    </xf>
    <xf numFmtId="4" fontId="0" fillId="0" borderId="43" xfId="0" applyNumberFormat="1" applyFont="1" applyBorder="1" applyAlignment="1">
      <alignment horizontal="right" vertical="top"/>
    </xf>
    <xf numFmtId="4" fontId="21" fillId="0" borderId="43" xfId="0" applyNumberFormat="1" applyFont="1" applyBorder="1" applyAlignment="1">
      <alignment horizontal="right" vertical="top"/>
    </xf>
    <xf numFmtId="4" fontId="35" fillId="0" borderId="43" xfId="0" applyNumberFormat="1" applyFont="1" applyBorder="1" applyAlignment="1">
      <alignment horizontal="right" vertical="top"/>
    </xf>
    <xf numFmtId="4" fontId="0" fillId="0" borderId="43" xfId="0" applyNumberFormat="1" applyFont="1" applyFill="1" applyBorder="1" applyAlignment="1">
      <alignment horizontal="right" vertical="top"/>
    </xf>
    <xf numFmtId="4" fontId="21" fillId="0" borderId="43" xfId="0" applyNumberFormat="1" applyFont="1" applyFill="1" applyBorder="1" applyAlignment="1">
      <alignment horizontal="right" vertical="top"/>
    </xf>
    <xf numFmtId="4" fontId="0" fillId="0" borderId="44" xfId="0" applyNumberFormat="1" applyFont="1" applyBorder="1" applyAlignment="1">
      <alignment horizontal="right" vertical="top"/>
    </xf>
    <xf numFmtId="0" fontId="0" fillId="0" borderId="18" xfId="0" applyFont="1" applyFill="1" applyBorder="1" applyAlignment="1">
      <alignment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Border="1" applyAlignment="1">
      <alignment horizontal="left" wrapText="1" indent="2"/>
    </xf>
    <xf numFmtId="0" fontId="43" fillId="0" borderId="24" xfId="0" applyFont="1" applyBorder="1" applyAlignment="1">
      <alignment wrapText="1"/>
    </xf>
    <xf numFmtId="0" fontId="42" fillId="0" borderId="45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0" fillId="40" borderId="14" xfId="0" applyNumberFormat="1" applyFont="1" applyFill="1" applyBorder="1" applyAlignment="1">
      <alignment vertical="top" wrapText="1"/>
    </xf>
    <xf numFmtId="0" fontId="48" fillId="0" borderId="0" xfId="0" applyFont="1" applyAlignment="1">
      <alignment/>
    </xf>
    <xf numFmtId="49" fontId="0" fillId="0" borderId="46" xfId="0" applyNumberFormat="1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48" fillId="0" borderId="47" xfId="0" applyFont="1" applyBorder="1" applyAlignment="1">
      <alignment/>
    </xf>
    <xf numFmtId="0" fontId="42" fillId="0" borderId="0" xfId="0" applyFont="1" applyAlignment="1">
      <alignment wrapText="1"/>
    </xf>
    <xf numFmtId="0" fontId="0" fillId="0" borderId="45" xfId="0" applyFont="1" applyFill="1" applyBorder="1" applyAlignment="1">
      <alignment/>
    </xf>
    <xf numFmtId="49" fontId="0" fillId="0" borderId="18" xfId="0" applyNumberFormat="1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48" xfId="0" applyFont="1" applyBorder="1" applyAlignment="1">
      <alignment wrapText="1"/>
    </xf>
    <xf numFmtId="0" fontId="25" fillId="0" borderId="0" xfId="94" applyFont="1" applyFill="1" applyAlignment="1">
      <alignment horizontal="center" vertical="center" wrapText="1"/>
      <protection/>
    </xf>
    <xf numFmtId="49" fontId="25" fillId="0" borderId="0" xfId="94" applyNumberFormat="1" applyFont="1" applyFill="1" applyAlignment="1">
      <alignment horizontal="center" vertical="center" wrapText="1"/>
      <protection/>
    </xf>
    <xf numFmtId="49" fontId="24" fillId="0" borderId="0" xfId="94" applyNumberFormat="1" applyFont="1" applyFill="1" applyAlignment="1">
      <alignment horizontal="center" vertical="top" wrapText="1"/>
      <protection/>
    </xf>
    <xf numFmtId="4" fontId="24" fillId="0" borderId="0" xfId="94" applyNumberFormat="1" applyFont="1" applyFill="1" applyAlignment="1">
      <alignment horizontal="right" vertical="top"/>
      <protection/>
    </xf>
    <xf numFmtId="0" fontId="24" fillId="0" borderId="0" xfId="94" applyFont="1" applyFill="1" applyAlignment="1">
      <alignment vertical="top" wrapText="1"/>
      <protection/>
    </xf>
    <xf numFmtId="0" fontId="24" fillId="0" borderId="0" xfId="94" applyFont="1" applyFill="1" applyAlignment="1">
      <alignment horizontal="center" vertical="center" wrapText="1"/>
      <protection/>
    </xf>
    <xf numFmtId="49" fontId="24" fillId="0" borderId="0" xfId="94" applyNumberFormat="1" applyFont="1" applyFill="1" applyAlignment="1">
      <alignment horizontal="center" vertical="center" wrapText="1"/>
      <protection/>
    </xf>
    <xf numFmtId="4" fontId="24" fillId="0" borderId="0" xfId="94" applyNumberFormat="1" applyFont="1" applyFill="1" applyAlignment="1">
      <alignment horizontal="right" vertical="center"/>
      <protection/>
    </xf>
    <xf numFmtId="0" fontId="25" fillId="0" borderId="0" xfId="94" applyFont="1" applyFill="1" applyAlignment="1">
      <alignment horizontal="centerContinuous" vertical="center" wrapText="1"/>
      <protection/>
    </xf>
    <xf numFmtId="49" fontId="25" fillId="0" borderId="0" xfId="94" applyNumberFormat="1" applyFont="1" applyFill="1" applyAlignment="1">
      <alignment horizontal="centerContinuous" vertical="center" wrapText="1"/>
      <protection/>
    </xf>
    <xf numFmtId="4" fontId="25" fillId="0" borderId="0" xfId="94" applyNumberFormat="1" applyFont="1" applyFill="1" applyAlignment="1">
      <alignment horizontal="centerContinuous" vertical="center" wrapText="1"/>
      <protection/>
    </xf>
    <xf numFmtId="0" fontId="24" fillId="0" borderId="0" xfId="94" applyFont="1" applyFill="1" applyAlignment="1">
      <alignment horizontal="right" vertical="center" wrapText="1"/>
      <protection/>
    </xf>
    <xf numFmtId="0" fontId="0" fillId="0" borderId="49" xfId="0" applyNumberFormat="1" applyFont="1" applyBorder="1" applyAlignment="1">
      <alignment vertical="top" wrapText="1"/>
    </xf>
    <xf numFmtId="49" fontId="24" fillId="0" borderId="0" xfId="94" applyNumberFormat="1" applyFont="1" applyFill="1" applyAlignment="1">
      <alignment horizontal="right" vertical="center" wrapText="1"/>
      <protection/>
    </xf>
    <xf numFmtId="4" fontId="24" fillId="0" borderId="0" xfId="94" applyNumberFormat="1" applyFont="1" applyFill="1" applyAlignment="1">
      <alignment horizontal="right" vertical="center" wrapText="1"/>
      <protection/>
    </xf>
    <xf numFmtId="0" fontId="30" fillId="0" borderId="15" xfId="94" applyFont="1" applyFill="1" applyBorder="1" applyAlignment="1">
      <alignment horizontal="center" vertical="center" wrapText="1"/>
      <protection/>
    </xf>
    <xf numFmtId="49" fontId="30" fillId="0" borderId="15" xfId="94" applyNumberFormat="1" applyFont="1" applyFill="1" applyBorder="1" applyAlignment="1">
      <alignment horizontal="center" vertical="center" wrapText="1"/>
      <protection/>
    </xf>
    <xf numFmtId="4" fontId="30" fillId="0" borderId="15" xfId="94" applyNumberFormat="1" applyFont="1" applyFill="1" applyBorder="1" applyAlignment="1">
      <alignment horizontal="center" vertical="center"/>
      <protection/>
    </xf>
    <xf numFmtId="4" fontId="24" fillId="0" borderId="50" xfId="94" applyNumberFormat="1" applyFont="1" applyFill="1" applyBorder="1" applyAlignment="1">
      <alignment vertical="top" wrapText="1"/>
      <protection/>
    </xf>
    <xf numFmtId="4" fontId="24" fillId="0" borderId="0" xfId="94" applyNumberFormat="1" applyFont="1" applyFill="1" applyAlignment="1">
      <alignment vertical="top" wrapText="1"/>
      <protection/>
    </xf>
    <xf numFmtId="0" fontId="25" fillId="0" borderId="15" xfId="94" applyFont="1" applyFill="1" applyBorder="1" applyAlignment="1">
      <alignment horizontal="left" wrapText="1"/>
      <protection/>
    </xf>
    <xf numFmtId="0" fontId="24" fillId="0" borderId="15" xfId="94" applyFont="1" applyFill="1" applyBorder="1" applyAlignment="1">
      <alignment horizontal="center" wrapText="1"/>
      <protection/>
    </xf>
    <xf numFmtId="4" fontId="25" fillId="0" borderId="15" xfId="94" applyNumberFormat="1" applyFont="1" applyFill="1" applyBorder="1" applyAlignment="1">
      <alignment horizontal="right"/>
      <protection/>
    </xf>
    <xf numFmtId="4" fontId="25" fillId="0" borderId="50" xfId="94" applyNumberFormat="1" applyFont="1" applyFill="1" applyBorder="1" applyAlignment="1">
      <alignment horizontal="right"/>
      <protection/>
    </xf>
    <xf numFmtId="0" fontId="24" fillId="0" borderId="0" xfId="94" applyFont="1" applyFill="1" applyAlignment="1">
      <alignment wrapText="1"/>
      <protection/>
    </xf>
    <xf numFmtId="0" fontId="25" fillId="0" borderId="34" xfId="94" applyFont="1" applyFill="1" applyBorder="1" applyAlignment="1">
      <alignment horizontal="left" wrapText="1"/>
      <protection/>
    </xf>
    <xf numFmtId="0" fontId="25" fillId="0" borderId="51" xfId="94" applyFont="1" applyFill="1" applyBorder="1" applyAlignment="1">
      <alignment horizontal="center" wrapText="1"/>
      <protection/>
    </xf>
    <xf numFmtId="0" fontId="24" fillId="0" borderId="51" xfId="94" applyFont="1" applyFill="1" applyBorder="1" applyAlignment="1">
      <alignment horizontal="center" wrapText="1"/>
      <protection/>
    </xf>
    <xf numFmtId="4" fontId="25" fillId="0" borderId="51" xfId="94" applyNumberFormat="1" applyFont="1" applyFill="1" applyBorder="1" applyAlignment="1">
      <alignment horizontal="right"/>
      <protection/>
    </xf>
    <xf numFmtId="0" fontId="24" fillId="0" borderId="50" xfId="94" applyFont="1" applyFill="1" applyBorder="1" applyAlignment="1">
      <alignment vertical="top" wrapText="1"/>
      <protection/>
    </xf>
    <xf numFmtId="0" fontId="25" fillId="0" borderId="16" xfId="94" applyFont="1" applyFill="1" applyBorder="1" applyAlignment="1">
      <alignment wrapText="1"/>
      <protection/>
    </xf>
    <xf numFmtId="0" fontId="25" fillId="0" borderId="16" xfId="94" applyFont="1" applyFill="1" applyBorder="1" applyAlignment="1">
      <alignment horizontal="center" wrapText="1"/>
      <protection/>
    </xf>
    <xf numFmtId="49" fontId="25" fillId="0" borderId="16" xfId="94" applyNumberFormat="1" applyFont="1" applyFill="1" applyBorder="1" applyAlignment="1">
      <alignment horizontal="center" wrapText="1"/>
      <protection/>
    </xf>
    <xf numFmtId="4" fontId="25" fillId="7" borderId="16" xfId="94" applyNumberFormat="1" applyFont="1" applyFill="1" applyBorder="1" applyAlignment="1">
      <alignment horizontal="right"/>
      <protection/>
    </xf>
    <xf numFmtId="0" fontId="26" fillId="0" borderId="14" xfId="94" applyFont="1" applyFill="1" applyBorder="1" applyAlignment="1">
      <alignment wrapText="1"/>
      <protection/>
    </xf>
    <xf numFmtId="0" fontId="26" fillId="0" borderId="14" xfId="94" applyFont="1" applyFill="1" applyBorder="1" applyAlignment="1">
      <alignment horizontal="center" wrapText="1"/>
      <protection/>
    </xf>
    <xf numFmtId="4" fontId="26" fillId="0" borderId="14" xfId="94" applyNumberFormat="1" applyFont="1" applyFill="1" applyBorder="1" applyAlignment="1">
      <alignment horizontal="right"/>
      <protection/>
    </xf>
    <xf numFmtId="0" fontId="24" fillId="0" borderId="14" xfId="94" applyFont="1" applyFill="1" applyBorder="1" applyAlignment="1">
      <alignment horizontal="left" wrapText="1"/>
      <protection/>
    </xf>
    <xf numFmtId="0" fontId="24" fillId="0" borderId="14" xfId="94" applyFont="1" applyFill="1" applyBorder="1" applyAlignment="1">
      <alignment horizontal="center" wrapText="1"/>
      <protection/>
    </xf>
    <xf numFmtId="0" fontId="24" fillId="0" borderId="14" xfId="94" applyFont="1" applyFill="1" applyBorder="1" applyAlignment="1">
      <alignment wrapText="1"/>
      <protection/>
    </xf>
    <xf numFmtId="4" fontId="24" fillId="0" borderId="14" xfId="94" applyNumberFormat="1" applyFont="1" applyFill="1" applyBorder="1" applyAlignment="1">
      <alignment horizontal="right"/>
      <protection/>
    </xf>
    <xf numFmtId="0" fontId="28" fillId="0" borderId="14" xfId="94" applyFont="1" applyFill="1" applyBorder="1" applyAlignment="1">
      <alignment horizontal="center" wrapText="1"/>
      <protection/>
    </xf>
    <xf numFmtId="0" fontId="25" fillId="7" borderId="14" xfId="94" applyFont="1" applyFill="1" applyBorder="1" applyAlignment="1">
      <alignment horizontal="left" wrapText="1"/>
      <protection/>
    </xf>
    <xf numFmtId="0" fontId="24" fillId="0" borderId="14" xfId="94" applyFont="1" applyFill="1" applyBorder="1" applyAlignment="1">
      <alignment horizontal="center"/>
      <protection/>
    </xf>
    <xf numFmtId="0" fontId="26" fillId="7" borderId="14" xfId="94" applyFont="1" applyFill="1" applyBorder="1" applyAlignment="1">
      <alignment wrapText="1"/>
      <protection/>
    </xf>
    <xf numFmtId="0" fontId="25" fillId="0" borderId="14" xfId="94" applyFont="1" applyFill="1" applyBorder="1" applyAlignment="1">
      <alignment horizontal="left" wrapText="1"/>
      <protection/>
    </xf>
    <xf numFmtId="0" fontId="26" fillId="0" borderId="14" xfId="94" applyFont="1" applyFill="1" applyBorder="1" applyAlignment="1">
      <alignment horizontal="left" wrapText="1"/>
      <protection/>
    </xf>
    <xf numFmtId="0" fontId="26" fillId="0" borderId="14" xfId="94" applyFont="1" applyFill="1" applyBorder="1" applyAlignment="1">
      <alignment horizontal="center"/>
      <protection/>
    </xf>
    <xf numFmtId="0" fontId="28" fillId="0" borderId="14" xfId="94" applyFont="1" applyFill="1" applyBorder="1" applyAlignment="1">
      <alignment wrapText="1"/>
      <protection/>
    </xf>
    <xf numFmtId="0" fontId="24" fillId="0" borderId="17" xfId="94" applyFont="1" applyFill="1" applyBorder="1" applyAlignment="1">
      <alignment horizontal="left" wrapText="1"/>
      <protection/>
    </xf>
    <xf numFmtId="0" fontId="24" fillId="0" borderId="17" xfId="94" applyFont="1" applyFill="1" applyBorder="1" applyAlignment="1">
      <alignment horizontal="center" wrapText="1"/>
      <protection/>
    </xf>
    <xf numFmtId="0" fontId="24" fillId="0" borderId="17" xfId="94" applyFont="1" applyFill="1" applyBorder="1" applyAlignment="1">
      <alignment horizontal="center"/>
      <protection/>
    </xf>
    <xf numFmtId="0" fontId="24" fillId="7" borderId="14" xfId="94" applyFont="1" applyFill="1" applyBorder="1" applyAlignment="1">
      <alignment horizontal="left" wrapText="1"/>
      <protection/>
    </xf>
    <xf numFmtId="0" fontId="29" fillId="0" borderId="14" xfId="94" applyFont="1" applyFill="1" applyBorder="1" applyAlignment="1">
      <alignment horizontal="center" wrapText="1"/>
      <protection/>
    </xf>
    <xf numFmtId="4" fontId="24" fillId="0" borderId="17" xfId="94" applyNumberFormat="1" applyFont="1" applyFill="1" applyBorder="1" applyAlignment="1">
      <alignment horizontal="right"/>
      <protection/>
    </xf>
    <xf numFmtId="0" fontId="26" fillId="7" borderId="14" xfId="94" applyFont="1" applyFill="1" applyBorder="1" applyAlignment="1">
      <alignment horizontal="left" wrapText="1"/>
      <protection/>
    </xf>
    <xf numFmtId="0" fontId="24" fillId="7" borderId="14" xfId="94" applyFont="1" applyFill="1" applyBorder="1" applyAlignment="1">
      <alignment horizontal="center" wrapText="1"/>
      <protection/>
    </xf>
    <xf numFmtId="0" fontId="26" fillId="7" borderId="14" xfId="94" applyFont="1" applyFill="1" applyBorder="1" applyAlignment="1">
      <alignment horizontal="center"/>
      <protection/>
    </xf>
    <xf numFmtId="0" fontId="24" fillId="7" borderId="14" xfId="94" applyFont="1" applyFill="1" applyBorder="1" applyAlignment="1">
      <alignment horizontal="center"/>
      <protection/>
    </xf>
    <xf numFmtId="0" fontId="24" fillId="7" borderId="52" xfId="94" applyFont="1" applyFill="1" applyBorder="1" applyAlignment="1">
      <alignment horizontal="center" wrapText="1"/>
      <protection/>
    </xf>
    <xf numFmtId="0" fontId="26" fillId="7" borderId="14" xfId="94" applyFont="1" applyFill="1" applyBorder="1" applyAlignment="1">
      <alignment horizontal="center" wrapText="1"/>
      <protection/>
    </xf>
    <xf numFmtId="4" fontId="24" fillId="0" borderId="52" xfId="94" applyNumberFormat="1" applyFont="1" applyFill="1" applyBorder="1" applyAlignment="1">
      <alignment horizontal="right"/>
      <protection/>
    </xf>
    <xf numFmtId="0" fontId="24" fillId="7" borderId="17" xfId="94" applyFont="1" applyFill="1" applyBorder="1" applyAlignment="1">
      <alignment horizontal="center" wrapText="1"/>
      <protection/>
    </xf>
    <xf numFmtId="49" fontId="26" fillId="0" borderId="14" xfId="94" applyNumberFormat="1" applyFont="1" applyFill="1" applyBorder="1" applyAlignment="1">
      <alignment horizontal="center" wrapText="1"/>
      <protection/>
    </xf>
    <xf numFmtId="0" fontId="25" fillId="0" borderId="14" xfId="94" applyFont="1" applyFill="1" applyBorder="1" applyAlignment="1">
      <alignment horizontal="center" wrapText="1"/>
      <protection/>
    </xf>
    <xf numFmtId="49" fontId="24" fillId="0" borderId="14" xfId="94" applyNumberFormat="1" applyFont="1" applyFill="1" applyBorder="1" applyAlignment="1">
      <alignment horizontal="center" wrapText="1"/>
      <protection/>
    </xf>
    <xf numFmtId="4" fontId="25" fillId="0" borderId="16" xfId="94" applyNumberFormat="1" applyFont="1" applyFill="1" applyBorder="1" applyAlignment="1">
      <alignment horizontal="right"/>
      <protection/>
    </xf>
    <xf numFmtId="4" fontId="26" fillId="7" borderId="14" xfId="94" applyNumberFormat="1" applyFont="1" applyFill="1" applyBorder="1" applyAlignment="1">
      <alignment horizontal="right"/>
      <protection/>
    </xf>
    <xf numFmtId="4" fontId="24" fillId="7" borderId="14" xfId="94" applyNumberFormat="1" applyFont="1" applyFill="1" applyBorder="1" applyAlignment="1">
      <alignment horizontal="right"/>
      <protection/>
    </xf>
    <xf numFmtId="49" fontId="24" fillId="7" borderId="14" xfId="94" applyNumberFormat="1" applyFont="1" applyFill="1" applyBorder="1" applyAlignment="1">
      <alignment horizontal="center" wrapText="1"/>
      <protection/>
    </xf>
    <xf numFmtId="0" fontId="24" fillId="7" borderId="14" xfId="94" applyFont="1" applyFill="1" applyBorder="1" applyAlignment="1">
      <alignment wrapText="1"/>
      <protection/>
    </xf>
    <xf numFmtId="4" fontId="24" fillId="0" borderId="51" xfId="94" applyNumberFormat="1" applyFont="1" applyFill="1" applyBorder="1" applyAlignment="1">
      <alignment horizontal="right"/>
      <protection/>
    </xf>
    <xf numFmtId="49" fontId="24" fillId="0" borderId="17" xfId="94" applyNumberFormat="1" applyFont="1" applyFill="1" applyBorder="1" applyAlignment="1">
      <alignment horizontal="center" wrapText="1"/>
      <protection/>
    </xf>
    <xf numFmtId="0" fontId="24" fillId="0" borderId="17" xfId="94" applyFont="1" applyFill="1" applyBorder="1" applyAlignment="1">
      <alignment wrapText="1"/>
      <protection/>
    </xf>
    <xf numFmtId="0" fontId="25" fillId="7" borderId="16" xfId="94" applyFont="1" applyFill="1" applyBorder="1" applyAlignment="1">
      <alignment horizontal="left" wrapText="1"/>
      <protection/>
    </xf>
    <xf numFmtId="49" fontId="25" fillId="7" borderId="16" xfId="94" applyNumberFormat="1" applyFont="1" applyFill="1" applyBorder="1" applyAlignment="1">
      <alignment horizontal="center" wrapText="1"/>
      <protection/>
    </xf>
    <xf numFmtId="0" fontId="24" fillId="7" borderId="16" xfId="94" applyFont="1" applyFill="1" applyBorder="1" applyAlignment="1">
      <alignment horizontal="center"/>
      <protection/>
    </xf>
    <xf numFmtId="0" fontId="24" fillId="7" borderId="16" xfId="94" applyFont="1" applyFill="1" applyBorder="1" applyAlignment="1">
      <alignment wrapText="1"/>
      <protection/>
    </xf>
    <xf numFmtId="0" fontId="32" fillId="0" borderId="0" xfId="94" applyFont="1" applyFill="1" applyAlignment="1">
      <alignment vertical="top" wrapText="1"/>
      <protection/>
    </xf>
    <xf numFmtId="4" fontId="27" fillId="0" borderId="16" xfId="94" applyNumberFormat="1" applyFont="1" applyFill="1" applyBorder="1" applyAlignment="1">
      <alignment horizontal="right"/>
      <protection/>
    </xf>
    <xf numFmtId="0" fontId="25" fillId="0" borderId="16" xfId="94" applyFont="1" applyFill="1" applyBorder="1" applyAlignment="1">
      <alignment horizontal="left" wrapText="1"/>
      <protection/>
    </xf>
    <xf numFmtId="0" fontId="24" fillId="7" borderId="16" xfId="94" applyFont="1" applyFill="1" applyBorder="1" applyAlignment="1">
      <alignment horizontal="center" wrapText="1"/>
      <protection/>
    </xf>
    <xf numFmtId="0" fontId="24" fillId="0" borderId="16" xfId="94" applyFont="1" applyFill="1" applyBorder="1" applyAlignment="1">
      <alignment wrapText="1"/>
      <protection/>
    </xf>
    <xf numFmtId="0" fontId="25" fillId="0" borderId="53" xfId="94" applyFont="1" applyFill="1" applyBorder="1" applyAlignment="1">
      <alignment horizontal="left" wrapText="1"/>
      <protection/>
    </xf>
    <xf numFmtId="49" fontId="25" fillId="0" borderId="53" xfId="94" applyNumberFormat="1" applyFont="1" applyFill="1" applyBorder="1" applyAlignment="1">
      <alignment horizontal="center" wrapText="1"/>
      <protection/>
    </xf>
    <xf numFmtId="0" fontId="24" fillId="7" borderId="53" xfId="94" applyFont="1" applyFill="1" applyBorder="1" applyAlignment="1">
      <alignment horizontal="center" wrapText="1"/>
      <protection/>
    </xf>
    <xf numFmtId="0" fontId="24" fillId="7" borderId="53" xfId="94" applyFont="1" applyFill="1" applyBorder="1" applyAlignment="1">
      <alignment horizontal="center"/>
      <protection/>
    </xf>
    <xf numFmtId="0" fontId="24" fillId="0" borderId="53" xfId="94" applyFont="1" applyFill="1" applyBorder="1" applyAlignment="1">
      <alignment wrapText="1"/>
      <protection/>
    </xf>
    <xf numFmtId="4" fontId="25" fillId="0" borderId="53" xfId="94" applyNumberFormat="1" applyFont="1" applyFill="1" applyBorder="1" applyAlignment="1">
      <alignment horizontal="right"/>
      <protection/>
    </xf>
    <xf numFmtId="0" fontId="25" fillId="0" borderId="52" xfId="94" applyFont="1" applyFill="1" applyBorder="1" applyAlignment="1">
      <alignment horizontal="left" wrapText="1"/>
      <protection/>
    </xf>
    <xf numFmtId="0" fontId="24" fillId="0" borderId="52" xfId="94" applyFont="1" applyFill="1" applyBorder="1" applyAlignment="1">
      <alignment horizontal="center" wrapText="1"/>
      <protection/>
    </xf>
    <xf numFmtId="0" fontId="24" fillId="0" borderId="52" xfId="94" applyFont="1" applyFill="1" applyBorder="1" applyAlignment="1">
      <alignment horizontal="center"/>
      <protection/>
    </xf>
    <xf numFmtId="0" fontId="24" fillId="0" borderId="52" xfId="94" applyFont="1" applyFill="1" applyBorder="1" applyAlignment="1">
      <alignment wrapText="1"/>
      <protection/>
    </xf>
    <xf numFmtId="4" fontId="26" fillId="0" borderId="52" xfId="94" applyNumberFormat="1" applyFont="1" applyFill="1" applyBorder="1" applyAlignment="1">
      <alignment horizontal="right"/>
      <protection/>
    </xf>
    <xf numFmtId="0" fontId="24" fillId="0" borderId="54" xfId="94" applyFont="1" applyFill="1" applyBorder="1" applyAlignment="1">
      <alignment horizontal="left" wrapText="1"/>
      <protection/>
    </xf>
    <xf numFmtId="0" fontId="24" fillId="0" borderId="54" xfId="94" applyFont="1" applyFill="1" applyBorder="1" applyAlignment="1">
      <alignment horizontal="center" wrapText="1"/>
      <protection/>
    </xf>
    <xf numFmtId="0" fontId="24" fillId="0" borderId="54" xfId="94" applyFont="1" applyFill="1" applyBorder="1" applyAlignment="1">
      <alignment horizontal="center"/>
      <protection/>
    </xf>
    <xf numFmtId="4" fontId="24" fillId="0" borderId="54" xfId="94" applyNumberFormat="1" applyFont="1" applyFill="1" applyBorder="1" applyAlignment="1">
      <alignment horizontal="right"/>
      <protection/>
    </xf>
    <xf numFmtId="0" fontId="24" fillId="0" borderId="0" xfId="94" applyFont="1" applyFill="1" applyAlignment="1">
      <alignment horizontal="center" vertical="top" wrapText="1"/>
      <protection/>
    </xf>
    <xf numFmtId="0" fontId="30" fillId="0" borderId="34" xfId="94" applyFont="1" applyFill="1" applyBorder="1" applyAlignment="1">
      <alignment horizontal="center" vertical="center" wrapText="1"/>
      <protection/>
    </xf>
    <xf numFmtId="4" fontId="30" fillId="0" borderId="34" xfId="94" applyNumberFormat="1" applyFont="1" applyFill="1" applyBorder="1" applyAlignment="1">
      <alignment horizontal="center" vertical="center" wrapText="1"/>
      <protection/>
    </xf>
    <xf numFmtId="0" fontId="30" fillId="0" borderId="24" xfId="94" applyFont="1" applyFill="1" applyBorder="1" applyAlignment="1">
      <alignment horizontal="center" vertical="center" wrapText="1"/>
      <protection/>
    </xf>
    <xf numFmtId="4" fontId="30" fillId="0" borderId="24" xfId="94" applyNumberFormat="1" applyFont="1" applyFill="1" applyBorder="1" applyAlignment="1">
      <alignment horizontal="center" vertical="center" wrapText="1"/>
      <protection/>
    </xf>
    <xf numFmtId="4" fontId="24" fillId="0" borderId="0" xfId="94" applyNumberFormat="1" applyFont="1" applyFill="1" applyAlignment="1">
      <alignment wrapText="1"/>
      <protection/>
    </xf>
    <xf numFmtId="0" fontId="25" fillId="0" borderId="55" xfId="94" applyFont="1" applyFill="1" applyBorder="1" applyAlignment="1">
      <alignment horizontal="left" wrapText="1"/>
      <protection/>
    </xf>
    <xf numFmtId="0" fontId="24" fillId="0" borderId="55" xfId="94" applyFont="1" applyFill="1" applyBorder="1" applyAlignment="1">
      <alignment horizontal="center" wrapText="1"/>
      <protection/>
    </xf>
    <xf numFmtId="4" fontId="25" fillId="0" borderId="55" xfId="94" applyNumberFormat="1" applyFont="1" applyFill="1" applyBorder="1" applyAlignment="1">
      <alignment horizontal="right"/>
      <protection/>
    </xf>
    <xf numFmtId="49" fontId="24" fillId="0" borderId="16" xfId="94" applyNumberFormat="1" applyFont="1" applyFill="1" applyBorder="1" applyAlignment="1">
      <alignment horizontal="center" wrapText="1"/>
      <protection/>
    </xf>
    <xf numFmtId="0" fontId="25" fillId="0" borderId="52" xfId="94" applyFont="1" applyFill="1" applyBorder="1" applyAlignment="1">
      <alignment wrapText="1"/>
      <protection/>
    </xf>
    <xf numFmtId="0" fontId="25" fillId="0" borderId="52" xfId="94" applyFont="1" applyFill="1" applyBorder="1" applyAlignment="1">
      <alignment horizontal="center" wrapText="1"/>
      <protection/>
    </xf>
    <xf numFmtId="49" fontId="25" fillId="0" borderId="52" xfId="94" applyNumberFormat="1" applyFont="1" applyFill="1" applyBorder="1" applyAlignment="1">
      <alignment horizontal="center" wrapText="1"/>
      <protection/>
    </xf>
    <xf numFmtId="4" fontId="25" fillId="7" borderId="52" xfId="94" applyNumberFormat="1" applyFont="1" applyFill="1" applyBorder="1" applyAlignment="1">
      <alignment horizontal="right"/>
      <protection/>
    </xf>
    <xf numFmtId="49" fontId="24" fillId="7" borderId="16" xfId="94" applyNumberFormat="1" applyFont="1" applyFill="1" applyBorder="1" applyAlignment="1">
      <alignment horizontal="center" wrapText="1"/>
      <protection/>
    </xf>
    <xf numFmtId="49" fontId="25" fillId="0" borderId="14" xfId="94" applyNumberFormat="1" applyFont="1" applyFill="1" applyBorder="1" applyAlignment="1">
      <alignment horizontal="center" wrapText="1"/>
      <protection/>
    </xf>
    <xf numFmtId="4" fontId="25" fillId="0" borderId="14" xfId="94" applyNumberFormat="1" applyFont="1" applyFill="1" applyBorder="1" applyAlignment="1">
      <alignment horizontal="right"/>
      <protection/>
    </xf>
    <xf numFmtId="4" fontId="27" fillId="7" borderId="16" xfId="94" applyNumberFormat="1" applyFont="1" applyFill="1" applyBorder="1" applyAlignment="1">
      <alignment horizontal="right"/>
      <protection/>
    </xf>
    <xf numFmtId="0" fontId="24" fillId="0" borderId="0" xfId="94" applyFont="1" applyFill="1" applyAlignment="1">
      <alignment horizontal="right" vertical="top"/>
      <protection/>
    </xf>
    <xf numFmtId="0" fontId="24" fillId="0" borderId="0" xfId="94" applyFont="1" applyFill="1" applyBorder="1" applyAlignment="1">
      <alignment vertical="top"/>
      <protection/>
    </xf>
    <xf numFmtId="0" fontId="24" fillId="0" borderId="0" xfId="94" applyFont="1" applyFill="1" applyBorder="1" applyAlignment="1">
      <alignment/>
      <protection/>
    </xf>
    <xf numFmtId="0" fontId="24" fillId="0" borderId="0" xfId="94" applyFont="1" applyFill="1" applyAlignment="1">
      <alignment horizontal="right" vertical="center"/>
      <protection/>
    </xf>
    <xf numFmtId="0" fontId="30" fillId="0" borderId="56" xfId="94" applyFont="1" applyFill="1" applyBorder="1" applyAlignment="1">
      <alignment horizontal="center" vertical="center" wrapText="1"/>
      <protection/>
    </xf>
    <xf numFmtId="4" fontId="24" fillId="0" borderId="0" xfId="94" applyNumberFormat="1" applyFont="1" applyFill="1" applyBorder="1" applyAlignment="1">
      <alignment vertical="top"/>
      <protection/>
    </xf>
    <xf numFmtId="0" fontId="27" fillId="0" borderId="16" xfId="94" applyFont="1" applyFill="1" applyBorder="1" applyAlignment="1">
      <alignment horizontal="left" wrapText="1"/>
      <protection/>
    </xf>
    <xf numFmtId="0" fontId="27" fillId="0" borderId="16" xfId="94" applyFont="1" applyFill="1" applyBorder="1" applyAlignment="1">
      <alignment horizontal="center"/>
      <protection/>
    </xf>
    <xf numFmtId="0" fontId="27" fillId="0" borderId="16" xfId="94" applyFont="1" applyFill="1" applyBorder="1" applyAlignment="1">
      <alignment horizontal="center" wrapText="1"/>
      <protection/>
    </xf>
    <xf numFmtId="4" fontId="24" fillId="0" borderId="57" xfId="94" applyNumberFormat="1" applyFont="1" applyFill="1" applyBorder="1" applyAlignment="1">
      <alignment horizontal="right"/>
      <protection/>
    </xf>
    <xf numFmtId="0" fontId="25" fillId="0" borderId="16" xfId="94" applyFont="1" applyFill="1" applyBorder="1" applyAlignment="1">
      <alignment horizontal="center"/>
      <protection/>
    </xf>
    <xf numFmtId="0" fontId="26" fillId="0" borderId="0" xfId="94" applyFont="1" applyFill="1" applyBorder="1" applyAlignment="1">
      <alignment horizontal="center"/>
      <protection/>
    </xf>
    <xf numFmtId="4" fontId="26" fillId="0" borderId="0" xfId="94" applyNumberFormat="1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 horizontal="center"/>
      <protection/>
    </xf>
    <xf numFmtId="0" fontId="25" fillId="0" borderId="14" xfId="94" applyFont="1" applyFill="1" applyBorder="1" applyAlignment="1">
      <alignment horizontal="center"/>
      <protection/>
    </xf>
    <xf numFmtId="0" fontId="24" fillId="0" borderId="0" xfId="94" applyFont="1" applyFill="1" applyBorder="1" applyAlignment="1">
      <alignment vertical="top" wrapText="1"/>
      <protection/>
    </xf>
    <xf numFmtId="4" fontId="24" fillId="0" borderId="0" xfId="94" applyNumberFormat="1" applyFont="1" applyFill="1" applyBorder="1" applyAlignment="1">
      <alignment horizontal="right"/>
      <protection/>
    </xf>
    <xf numFmtId="0" fontId="24" fillId="7" borderId="0" xfId="94" applyFont="1" applyFill="1" applyBorder="1" applyAlignment="1">
      <alignment horizontal="center"/>
      <protection/>
    </xf>
    <xf numFmtId="0" fontId="25" fillId="0" borderId="38" xfId="94" applyFont="1" applyFill="1" applyBorder="1" applyAlignment="1">
      <alignment horizontal="left" wrapText="1"/>
      <protection/>
    </xf>
    <xf numFmtId="0" fontId="25" fillId="0" borderId="38" xfId="94" applyFont="1" applyFill="1" applyBorder="1" applyAlignment="1">
      <alignment horizontal="center"/>
      <protection/>
    </xf>
    <xf numFmtId="0" fontId="25" fillId="0" borderId="38" xfId="94" applyFont="1" applyFill="1" applyBorder="1" applyAlignment="1">
      <alignment horizontal="center" wrapText="1"/>
      <protection/>
    </xf>
    <xf numFmtId="4" fontId="25" fillId="0" borderId="38" xfId="94" applyNumberFormat="1" applyFont="1" applyFill="1" applyBorder="1" applyAlignment="1">
      <alignment horizontal="right"/>
      <protection/>
    </xf>
    <xf numFmtId="0" fontId="26" fillId="0" borderId="30" xfId="94" applyFont="1" applyFill="1" applyBorder="1" applyAlignment="1">
      <alignment wrapText="1"/>
      <protection/>
    </xf>
    <xf numFmtId="0" fontId="24" fillId="0" borderId="30" xfId="94" applyFont="1" applyFill="1" applyBorder="1" applyAlignment="1">
      <alignment horizontal="center"/>
      <protection/>
    </xf>
    <xf numFmtId="0" fontId="28" fillId="0" borderId="30" xfId="94" applyFont="1" applyFill="1" applyBorder="1" applyAlignment="1">
      <alignment horizontal="center" wrapText="1"/>
      <protection/>
    </xf>
    <xf numFmtId="4" fontId="26" fillId="0" borderId="30" xfId="94" applyNumberFormat="1" applyFont="1" applyFill="1" applyBorder="1" applyAlignment="1">
      <alignment horizontal="right"/>
      <protection/>
    </xf>
    <xf numFmtId="0" fontId="24" fillId="0" borderId="30" xfId="94" applyFont="1" applyFill="1" applyBorder="1" applyAlignment="1">
      <alignment wrapText="1"/>
      <protection/>
    </xf>
    <xf numFmtId="0" fontId="24" fillId="0" borderId="30" xfId="94" applyFont="1" applyFill="1" applyBorder="1" applyAlignment="1">
      <alignment horizontal="left" wrapText="1"/>
      <protection/>
    </xf>
    <xf numFmtId="0" fontId="24" fillId="0" borderId="30" xfId="94" applyFont="1" applyFill="1" applyBorder="1" applyAlignment="1">
      <alignment horizontal="center" wrapText="1"/>
      <protection/>
    </xf>
    <xf numFmtId="4" fontId="24" fillId="0" borderId="30" xfId="94" applyNumberFormat="1" applyFont="1" applyFill="1" applyBorder="1" applyAlignment="1">
      <alignment horizontal="right"/>
      <protection/>
    </xf>
    <xf numFmtId="0" fontId="24" fillId="0" borderId="40" xfId="94" applyFont="1" applyFill="1" applyBorder="1" applyAlignment="1">
      <alignment horizontal="left" wrapText="1"/>
      <protection/>
    </xf>
    <xf numFmtId="0" fontId="24" fillId="0" borderId="40" xfId="94" applyFont="1" applyFill="1" applyBorder="1" applyAlignment="1">
      <alignment horizontal="center"/>
      <protection/>
    </xf>
    <xf numFmtId="0" fontId="24" fillId="0" borderId="40" xfId="94" applyFont="1" applyFill="1" applyBorder="1" applyAlignment="1">
      <alignment horizontal="center" wrapText="1"/>
      <protection/>
    </xf>
    <xf numFmtId="4" fontId="24" fillId="0" borderId="40" xfId="94" applyNumberFormat="1" applyFont="1" applyFill="1" applyBorder="1" applyAlignment="1">
      <alignment horizontal="right"/>
      <protection/>
    </xf>
    <xf numFmtId="0" fontId="26" fillId="0" borderId="30" xfId="94" applyFont="1" applyFill="1" applyBorder="1" applyAlignment="1">
      <alignment horizontal="left" wrapText="1"/>
      <protection/>
    </xf>
    <xf numFmtId="0" fontId="26" fillId="0" borderId="30" xfId="94" applyFont="1" applyFill="1" applyBorder="1" applyAlignment="1">
      <alignment horizontal="center"/>
      <protection/>
    </xf>
    <xf numFmtId="0" fontId="25" fillId="0" borderId="30" xfId="94" applyFont="1" applyFill="1" applyBorder="1" applyAlignment="1">
      <alignment horizontal="center" wrapText="1"/>
      <protection/>
    </xf>
    <xf numFmtId="49" fontId="24" fillId="0" borderId="0" xfId="94" applyNumberFormat="1" applyFont="1" applyFill="1" applyBorder="1" applyAlignment="1">
      <alignment horizontal="center"/>
      <protection/>
    </xf>
    <xf numFmtId="49" fontId="26" fillId="0" borderId="0" xfId="94" applyNumberFormat="1" applyFont="1" applyFill="1" applyBorder="1" applyAlignment="1">
      <alignment horizontal="center"/>
      <protection/>
    </xf>
    <xf numFmtId="0" fontId="25" fillId="0" borderId="58" xfId="94" applyFont="1" applyFill="1" applyBorder="1" applyAlignment="1">
      <alignment horizontal="left" wrapText="1"/>
      <protection/>
    </xf>
    <xf numFmtId="0" fontId="25" fillId="0" borderId="58" xfId="94" applyFont="1" applyFill="1" applyBorder="1" applyAlignment="1">
      <alignment horizontal="center"/>
      <protection/>
    </xf>
    <xf numFmtId="0" fontId="25" fillId="0" borderId="58" xfId="94" applyFont="1" applyFill="1" applyBorder="1" applyAlignment="1">
      <alignment horizontal="center" wrapText="1"/>
      <protection/>
    </xf>
    <xf numFmtId="4" fontId="25" fillId="0" borderId="58" xfId="94" applyNumberFormat="1" applyFont="1" applyFill="1" applyBorder="1" applyAlignment="1">
      <alignment horizontal="right"/>
      <protection/>
    </xf>
    <xf numFmtId="0" fontId="26" fillId="7" borderId="0" xfId="94" applyFont="1" applyFill="1" applyBorder="1" applyAlignment="1">
      <alignment horizontal="center"/>
      <protection/>
    </xf>
    <xf numFmtId="4" fontId="26" fillId="7" borderId="0" xfId="94" applyNumberFormat="1" applyFont="1" applyFill="1" applyBorder="1" applyAlignment="1">
      <alignment horizontal="right"/>
      <protection/>
    </xf>
    <xf numFmtId="0" fontId="25" fillId="0" borderId="52" xfId="94" applyFont="1" applyFill="1" applyBorder="1" applyAlignment="1">
      <alignment horizontal="center"/>
      <protection/>
    </xf>
    <xf numFmtId="0" fontId="33" fillId="0" borderId="52" xfId="94" applyFont="1" applyFill="1" applyBorder="1" applyAlignment="1">
      <alignment horizontal="center" wrapText="1"/>
      <protection/>
    </xf>
    <xf numFmtId="4" fontId="25" fillId="0" borderId="52" xfId="94" applyNumberFormat="1" applyFont="1" applyFill="1" applyBorder="1" applyAlignment="1">
      <alignment horizontal="right"/>
      <protection/>
    </xf>
    <xf numFmtId="4" fontId="24" fillId="7" borderId="0" xfId="94" applyNumberFormat="1" applyFont="1" applyFill="1" applyBorder="1" applyAlignment="1">
      <alignment horizontal="right"/>
      <protection/>
    </xf>
    <xf numFmtId="0" fontId="24" fillId="0" borderId="57" xfId="94" applyFont="1" applyFill="1" applyBorder="1" applyAlignment="1">
      <alignment horizontal="center" wrapText="1"/>
      <protection/>
    </xf>
    <xf numFmtId="0" fontId="24" fillId="0" borderId="57" xfId="94" applyFont="1" applyFill="1" applyBorder="1" applyAlignment="1">
      <alignment horizontal="left" wrapText="1"/>
      <protection/>
    </xf>
    <xf numFmtId="0" fontId="24" fillId="0" borderId="57" xfId="94" applyFont="1" applyFill="1" applyBorder="1" applyAlignment="1">
      <alignment horizontal="center"/>
      <protection/>
    </xf>
    <xf numFmtId="0" fontId="33" fillId="0" borderId="16" xfId="94" applyFont="1" applyFill="1" applyBorder="1" applyAlignment="1">
      <alignment horizontal="center" wrapText="1"/>
      <protection/>
    </xf>
    <xf numFmtId="0" fontId="26" fillId="0" borderId="0" xfId="94" applyFont="1" applyFill="1" applyBorder="1" applyAlignment="1">
      <alignment horizontal="center" wrapText="1"/>
      <protection/>
    </xf>
    <xf numFmtId="0" fontId="33" fillId="0" borderId="58" xfId="94" applyFont="1" applyFill="1" applyBorder="1" applyAlignment="1">
      <alignment horizontal="center" wrapText="1"/>
      <protection/>
    </xf>
    <xf numFmtId="0" fontId="24" fillId="0" borderId="59" xfId="94" applyFont="1" applyFill="1" applyBorder="1" applyAlignment="1">
      <alignment horizontal="left" wrapText="1"/>
      <protection/>
    </xf>
    <xf numFmtId="0" fontId="24" fillId="0" borderId="59" xfId="94" applyFont="1" applyFill="1" applyBorder="1" applyAlignment="1">
      <alignment horizontal="center" wrapText="1"/>
      <protection/>
    </xf>
    <xf numFmtId="4" fontId="24" fillId="0" borderId="59" xfId="94" applyNumberFormat="1" applyFont="1" applyFill="1" applyBorder="1" applyAlignment="1">
      <alignment horizontal="right"/>
      <protection/>
    </xf>
    <xf numFmtId="0" fontId="28" fillId="0" borderId="60" xfId="94" applyFont="1" applyFill="1" applyBorder="1" applyAlignment="1">
      <alignment horizontal="center" wrapText="1"/>
      <protection/>
    </xf>
    <xf numFmtId="4" fontId="26" fillId="0" borderId="60" xfId="94" applyNumberFormat="1" applyFont="1" applyFill="1" applyBorder="1" applyAlignment="1">
      <alignment horizontal="right"/>
      <protection/>
    </xf>
    <xf numFmtId="0" fontId="20" fillId="0" borderId="18" xfId="0" applyFont="1" applyFill="1" applyBorder="1" applyAlignment="1">
      <alignment vertical="top" wrapText="1"/>
    </xf>
    <xf numFmtId="49" fontId="20" fillId="7" borderId="45" xfId="0" applyNumberFormat="1" applyFont="1" applyFill="1" applyBorder="1" applyAlignment="1">
      <alignment vertical="top" wrapText="1"/>
    </xf>
    <xf numFmtId="49" fontId="0" fillId="7" borderId="25" xfId="0" applyNumberFormat="1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49" fontId="0" fillId="0" borderId="18" xfId="0" applyNumberFormat="1" applyFont="1" applyBorder="1" applyAlignment="1">
      <alignment vertical="top" wrapText="1"/>
    </xf>
    <xf numFmtId="0" fontId="24" fillId="0" borderId="18" xfId="95" applyFont="1" applyFill="1" applyBorder="1" applyAlignment="1">
      <alignment vertical="top" wrapText="1"/>
      <protection/>
    </xf>
    <xf numFmtId="49" fontId="0" fillId="0" borderId="26" xfId="0" applyNumberFormat="1" applyFont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wrapText="1"/>
    </xf>
    <xf numFmtId="0" fontId="49" fillId="0" borderId="0" xfId="94" applyFont="1" applyFill="1" applyAlignment="1">
      <alignment vertical="top" wrapText="1"/>
      <protection/>
    </xf>
    <xf numFmtId="0" fontId="24" fillId="0" borderId="52" xfId="94" applyFont="1" applyFill="1" applyBorder="1" applyAlignment="1">
      <alignment horizontal="left" wrapText="1"/>
      <protection/>
    </xf>
    <xf numFmtId="49" fontId="24" fillId="0" borderId="52" xfId="94" applyNumberFormat="1" applyFont="1" applyFill="1" applyBorder="1" applyAlignment="1">
      <alignment horizontal="center" wrapText="1"/>
      <protection/>
    </xf>
    <xf numFmtId="198" fontId="0" fillId="0" borderId="24" xfId="89" applyNumberFormat="1" applyFont="1" applyFill="1" applyBorder="1" applyAlignment="1" applyProtection="1">
      <alignment horizontal="left" wrapText="1"/>
      <protection hidden="1"/>
    </xf>
    <xf numFmtId="4" fontId="24" fillId="0" borderId="56" xfId="94" applyNumberFormat="1" applyFont="1" applyFill="1" applyBorder="1" applyAlignment="1">
      <alignment horizontal="right"/>
      <protection/>
    </xf>
    <xf numFmtId="0" fontId="42" fillId="0" borderId="25" xfId="0" applyFont="1" applyBorder="1" applyAlignment="1">
      <alignment wrapText="1"/>
    </xf>
    <xf numFmtId="0" fontId="0" fillId="0" borderId="14" xfId="94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48" fillId="0" borderId="61" xfId="0" applyFont="1" applyBorder="1" applyAlignment="1">
      <alignment/>
    </xf>
    <xf numFmtId="0" fontId="42" fillId="0" borderId="62" xfId="0" applyFont="1" applyBorder="1" applyAlignment="1">
      <alignment/>
    </xf>
    <xf numFmtId="0" fontId="42" fillId="0" borderId="63" xfId="0" applyFont="1" applyBorder="1" applyAlignment="1">
      <alignment/>
    </xf>
    <xf numFmtId="49" fontId="20" fillId="0" borderId="49" xfId="0" applyNumberFormat="1" applyFont="1" applyBorder="1" applyAlignment="1">
      <alignment vertical="top" wrapText="1"/>
    </xf>
    <xf numFmtId="0" fontId="20" fillId="0" borderId="49" xfId="0" applyFont="1" applyBorder="1" applyAlignment="1">
      <alignment vertical="top" wrapText="1"/>
    </xf>
    <xf numFmtId="0" fontId="0" fillId="0" borderId="0" xfId="69" applyFont="1" applyAlignment="1" applyProtection="1">
      <alignment wrapText="1"/>
      <protection/>
    </xf>
    <xf numFmtId="0" fontId="0" fillId="40" borderId="14" xfId="0" applyNumberFormat="1" applyFont="1" applyFill="1" applyBorder="1" applyAlignment="1">
      <alignment vertical="top" wrapText="1"/>
    </xf>
    <xf numFmtId="0" fontId="24" fillId="40" borderId="14" xfId="99" applyNumberFormat="1" applyFont="1" applyFill="1" applyBorder="1" applyAlignment="1">
      <alignment vertical="top" wrapText="1"/>
      <protection/>
    </xf>
    <xf numFmtId="0" fontId="25" fillId="0" borderId="0" xfId="92" applyFont="1" applyFill="1" applyAlignment="1">
      <alignment horizontal="center" vertical="center" wrapText="1"/>
      <protection/>
    </xf>
    <xf numFmtId="0" fontId="24" fillId="0" borderId="0" xfId="92" applyFont="1" applyFill="1" applyAlignment="1">
      <alignment horizontal="center" vertical="top" wrapText="1"/>
      <protection/>
    </xf>
    <xf numFmtId="4" fontId="24" fillId="0" borderId="0" xfId="92" applyNumberFormat="1" applyFont="1" applyFill="1" applyAlignment="1">
      <alignment horizontal="right" vertical="top"/>
      <protection/>
    </xf>
    <xf numFmtId="0" fontId="24" fillId="0" borderId="0" xfId="92" applyFont="1" applyFill="1" applyAlignment="1">
      <alignment vertical="top" wrapText="1"/>
      <protection/>
    </xf>
    <xf numFmtId="0" fontId="25" fillId="0" borderId="0" xfId="92" applyFont="1" applyFill="1" applyAlignment="1">
      <alignment horizontal="centerContinuous" vertical="center" wrapText="1"/>
      <protection/>
    </xf>
    <xf numFmtId="0" fontId="24" fillId="0" borderId="0" xfId="92" applyFont="1" applyFill="1" applyAlignment="1">
      <alignment horizontal="right" vertical="center" wrapText="1"/>
      <protection/>
    </xf>
    <xf numFmtId="4" fontId="24" fillId="0" borderId="0" xfId="92" applyNumberFormat="1" applyFont="1" applyFill="1" applyAlignment="1">
      <alignment horizontal="right" vertical="center" wrapText="1"/>
      <protection/>
    </xf>
    <xf numFmtId="4" fontId="24" fillId="0" borderId="0" xfId="92" applyNumberFormat="1" applyFont="1" applyFill="1" applyAlignment="1">
      <alignment vertical="top" wrapText="1"/>
      <protection/>
    </xf>
    <xf numFmtId="0" fontId="30" fillId="0" borderId="34" xfId="92" applyFont="1" applyFill="1" applyBorder="1" applyAlignment="1">
      <alignment horizontal="center" vertical="center" wrapText="1"/>
      <protection/>
    </xf>
    <xf numFmtId="4" fontId="30" fillId="0" borderId="34" xfId="92" applyNumberFormat="1" applyFont="1" applyFill="1" applyBorder="1" applyAlignment="1">
      <alignment horizontal="center" vertical="center" wrapText="1"/>
      <protection/>
    </xf>
    <xf numFmtId="0" fontId="30" fillId="0" borderId="24" xfId="92" applyFont="1" applyFill="1" applyBorder="1" applyAlignment="1">
      <alignment horizontal="center" vertical="center" wrapText="1"/>
      <protection/>
    </xf>
    <xf numFmtId="4" fontId="30" fillId="0" borderId="24" xfId="92" applyNumberFormat="1" applyFont="1" applyFill="1" applyBorder="1" applyAlignment="1">
      <alignment horizontal="center" vertical="center" wrapText="1"/>
      <protection/>
    </xf>
    <xf numFmtId="0" fontId="25" fillId="0" borderId="55" xfId="92" applyFont="1" applyFill="1" applyBorder="1" applyAlignment="1">
      <alignment horizontal="left" wrapText="1"/>
      <protection/>
    </xf>
    <xf numFmtId="0" fontId="24" fillId="0" borderId="55" xfId="92" applyFont="1" applyFill="1" applyBorder="1" applyAlignment="1">
      <alignment horizontal="center" wrapText="1"/>
      <protection/>
    </xf>
    <xf numFmtId="4" fontId="25" fillId="0" borderId="55" xfId="92" applyNumberFormat="1" applyFont="1" applyFill="1" applyBorder="1" applyAlignment="1">
      <alignment horizontal="right"/>
      <protection/>
    </xf>
    <xf numFmtId="0" fontId="25" fillId="0" borderId="16" xfId="92" applyFont="1" applyFill="1" applyBorder="1" applyAlignment="1">
      <alignment wrapText="1"/>
      <protection/>
    </xf>
    <xf numFmtId="0" fontId="25" fillId="0" borderId="16" xfId="92" applyFont="1" applyFill="1" applyBorder="1" applyAlignment="1">
      <alignment horizontal="center" wrapText="1"/>
      <protection/>
    </xf>
    <xf numFmtId="49" fontId="24" fillId="0" borderId="16" xfId="92" applyNumberFormat="1" applyFont="1" applyFill="1" applyBorder="1" applyAlignment="1">
      <alignment horizontal="center" wrapText="1"/>
      <protection/>
    </xf>
    <xf numFmtId="4" fontId="25" fillId="7" borderId="16" xfId="92" applyNumberFormat="1" applyFont="1" applyFill="1" applyBorder="1" applyAlignment="1">
      <alignment horizontal="right"/>
      <protection/>
    </xf>
    <xf numFmtId="0" fontId="24" fillId="0" borderId="0" xfId="92" applyFont="1" applyFill="1" applyAlignment="1">
      <alignment wrapText="1"/>
      <protection/>
    </xf>
    <xf numFmtId="0" fontId="26" fillId="0" borderId="14" xfId="92" applyFont="1" applyFill="1" applyBorder="1" applyAlignment="1">
      <alignment wrapText="1"/>
      <protection/>
    </xf>
    <xf numFmtId="0" fontId="26" fillId="0" borderId="14" xfId="92" applyFont="1" applyFill="1" applyBorder="1" applyAlignment="1">
      <alignment horizontal="center" wrapText="1"/>
      <protection/>
    </xf>
    <xf numFmtId="4" fontId="26" fillId="0" borderId="14" xfId="92" applyNumberFormat="1" applyFont="1" applyFill="1" applyBorder="1" applyAlignment="1">
      <alignment horizontal="right"/>
      <protection/>
    </xf>
    <xf numFmtId="0" fontId="24" fillId="0" borderId="14" xfId="92" applyFont="1" applyFill="1" applyBorder="1" applyAlignment="1">
      <alignment horizontal="left" wrapText="1"/>
      <protection/>
    </xf>
    <xf numFmtId="0" fontId="24" fillId="0" borderId="14" xfId="92" applyFont="1" applyFill="1" applyBorder="1" applyAlignment="1">
      <alignment horizontal="center" wrapText="1"/>
      <protection/>
    </xf>
    <xf numFmtId="0" fontId="24" fillId="0" borderId="14" xfId="92" applyFont="1" applyFill="1" applyBorder="1" applyAlignment="1">
      <alignment wrapText="1"/>
      <protection/>
    </xf>
    <xf numFmtId="4" fontId="24" fillId="0" borderId="14" xfId="92" applyNumberFormat="1" applyFont="1" applyFill="1" applyBorder="1" applyAlignment="1">
      <alignment horizontal="right"/>
      <protection/>
    </xf>
    <xf numFmtId="0" fontId="25" fillId="0" borderId="14" xfId="92" applyFont="1" applyFill="1" applyBorder="1" applyAlignment="1">
      <alignment horizontal="left" wrapText="1"/>
      <protection/>
    </xf>
    <xf numFmtId="0" fontId="26" fillId="0" borderId="14" xfId="92" applyFont="1" applyFill="1" applyBorder="1" applyAlignment="1">
      <alignment horizontal="left" wrapText="1"/>
      <protection/>
    </xf>
    <xf numFmtId="0" fontId="24" fillId="0" borderId="14" xfId="92" applyFont="1" applyFill="1" applyBorder="1" applyAlignment="1">
      <alignment horizontal="center"/>
      <protection/>
    </xf>
    <xf numFmtId="0" fontId="26" fillId="0" borderId="14" xfId="92" applyFont="1" applyFill="1" applyBorder="1" applyAlignment="1">
      <alignment horizontal="center"/>
      <protection/>
    </xf>
    <xf numFmtId="0" fontId="28" fillId="0" borderId="14" xfId="92" applyFont="1" applyFill="1" applyBorder="1" applyAlignment="1">
      <alignment horizontal="center" wrapText="1"/>
      <protection/>
    </xf>
    <xf numFmtId="0" fontId="25" fillId="7" borderId="14" xfId="92" applyFont="1" applyFill="1" applyBorder="1" applyAlignment="1">
      <alignment horizontal="left" wrapText="1"/>
      <protection/>
    </xf>
    <xf numFmtId="0" fontId="26" fillId="7" borderId="14" xfId="92" applyFont="1" applyFill="1" applyBorder="1" applyAlignment="1">
      <alignment wrapText="1"/>
      <protection/>
    </xf>
    <xf numFmtId="0" fontId="24" fillId="0" borderId="14" xfId="92" applyFont="1" applyFill="1" applyBorder="1" applyAlignment="1">
      <alignment horizontal="left" wrapText="1"/>
      <protection/>
    </xf>
    <xf numFmtId="0" fontId="24" fillId="0" borderId="14" xfId="92" applyFont="1" applyFill="1" applyBorder="1" applyAlignment="1">
      <alignment horizontal="center" wrapText="1"/>
      <protection/>
    </xf>
    <xf numFmtId="0" fontId="24" fillId="0" borderId="14" xfId="92" applyFont="1" applyFill="1" applyBorder="1" applyAlignment="1">
      <alignment horizontal="center"/>
      <protection/>
    </xf>
    <xf numFmtId="4" fontId="24" fillId="0" borderId="14" xfId="92" applyNumberFormat="1" applyFont="1" applyFill="1" applyBorder="1" applyAlignment="1">
      <alignment horizontal="right"/>
      <protection/>
    </xf>
    <xf numFmtId="0" fontId="26" fillId="0" borderId="14" xfId="92" applyFont="1" applyFill="1" applyBorder="1" applyAlignment="1">
      <alignment horizontal="left" wrapText="1"/>
      <protection/>
    </xf>
    <xf numFmtId="0" fontId="24" fillId="0" borderId="14" xfId="92" applyFont="1" applyFill="1" applyBorder="1" applyAlignment="1">
      <alignment wrapText="1"/>
      <protection/>
    </xf>
    <xf numFmtId="0" fontId="28" fillId="0" borderId="14" xfId="92" applyFont="1" applyFill="1" applyBorder="1" applyAlignment="1">
      <alignment wrapText="1"/>
      <protection/>
    </xf>
    <xf numFmtId="4" fontId="26" fillId="0" borderId="14" xfId="92" applyNumberFormat="1" applyFont="1" applyFill="1" applyBorder="1" applyAlignment="1">
      <alignment horizontal="right"/>
      <protection/>
    </xf>
    <xf numFmtId="0" fontId="24" fillId="0" borderId="17" xfId="92" applyFont="1" applyFill="1" applyBorder="1" applyAlignment="1">
      <alignment horizontal="left" wrapText="1"/>
      <protection/>
    </xf>
    <xf numFmtId="0" fontId="24" fillId="0" borderId="17" xfId="92" applyFont="1" applyFill="1" applyBorder="1" applyAlignment="1">
      <alignment horizontal="center" wrapText="1"/>
      <protection/>
    </xf>
    <xf numFmtId="0" fontId="24" fillId="0" borderId="17" xfId="92" applyFont="1" applyFill="1" applyBorder="1" applyAlignment="1">
      <alignment horizontal="center"/>
      <protection/>
    </xf>
    <xf numFmtId="4" fontId="24" fillId="0" borderId="17" xfId="92" applyNumberFormat="1" applyFont="1" applyFill="1" applyBorder="1" applyAlignment="1">
      <alignment horizontal="right"/>
      <protection/>
    </xf>
    <xf numFmtId="49" fontId="25" fillId="0" borderId="16" xfId="92" applyNumberFormat="1" applyFont="1" applyFill="1" applyBorder="1" applyAlignment="1">
      <alignment horizontal="center" wrapText="1"/>
      <protection/>
    </xf>
    <xf numFmtId="0" fontId="29" fillId="0" borderId="14" xfId="92" applyFont="1" applyFill="1" applyBorder="1" applyAlignment="1">
      <alignment horizontal="center" wrapText="1"/>
      <protection/>
    </xf>
    <xf numFmtId="0" fontId="24" fillId="0" borderId="17" xfId="92" applyFont="1" applyFill="1" applyBorder="1" applyAlignment="1">
      <alignment horizontal="left" wrapText="1"/>
      <protection/>
    </xf>
    <xf numFmtId="0" fontId="24" fillId="0" borderId="17" xfId="92" applyFont="1" applyFill="1" applyBorder="1" applyAlignment="1">
      <alignment horizontal="center" wrapText="1"/>
      <protection/>
    </xf>
    <xf numFmtId="0" fontId="24" fillId="0" borderId="17" xfId="92" applyFont="1" applyFill="1" applyBorder="1" applyAlignment="1">
      <alignment horizontal="center"/>
      <protection/>
    </xf>
    <xf numFmtId="4" fontId="24" fillId="0" borderId="17" xfId="92" applyNumberFormat="1" applyFont="1" applyFill="1" applyBorder="1" applyAlignment="1">
      <alignment horizontal="right"/>
      <protection/>
    </xf>
    <xf numFmtId="0" fontId="24" fillId="7" borderId="14" xfId="92" applyFont="1" applyFill="1" applyBorder="1" applyAlignment="1">
      <alignment horizontal="center" wrapText="1"/>
      <protection/>
    </xf>
    <xf numFmtId="0" fontId="26" fillId="7" borderId="14" xfId="92" applyFont="1" applyFill="1" applyBorder="1" applyAlignment="1">
      <alignment horizontal="center"/>
      <protection/>
    </xf>
    <xf numFmtId="0" fontId="24" fillId="7" borderId="14" xfId="92" applyFont="1" applyFill="1" applyBorder="1" applyAlignment="1">
      <alignment horizontal="center"/>
      <protection/>
    </xf>
    <xf numFmtId="0" fontId="24" fillId="7" borderId="14" xfId="92" applyFont="1" applyFill="1" applyBorder="1" applyAlignment="1">
      <alignment horizontal="left" wrapText="1"/>
      <protection/>
    </xf>
    <xf numFmtId="49" fontId="26" fillId="0" borderId="14" xfId="92" applyNumberFormat="1" applyFont="1" applyFill="1" applyBorder="1" applyAlignment="1">
      <alignment horizontal="center" wrapText="1"/>
      <protection/>
    </xf>
    <xf numFmtId="0" fontId="25" fillId="0" borderId="14" xfId="92" applyFont="1" applyFill="1" applyBorder="1" applyAlignment="1">
      <alignment horizontal="center" wrapText="1"/>
      <protection/>
    </xf>
    <xf numFmtId="49" fontId="24" fillId="0" borderId="14" xfId="92" applyNumberFormat="1" applyFont="1" applyFill="1" applyBorder="1" applyAlignment="1">
      <alignment horizontal="center" wrapText="1"/>
      <protection/>
    </xf>
    <xf numFmtId="0" fontId="26" fillId="7" borderId="14" xfId="92" applyFont="1" applyFill="1" applyBorder="1" applyAlignment="1">
      <alignment horizontal="left" wrapText="1"/>
      <protection/>
    </xf>
    <xf numFmtId="0" fontId="25" fillId="0" borderId="14" xfId="92" applyFont="1" applyFill="1" applyBorder="1" applyAlignment="1">
      <alignment horizontal="left" wrapText="1"/>
      <protection/>
    </xf>
    <xf numFmtId="4" fontId="26" fillId="0" borderId="17" xfId="92" applyNumberFormat="1" applyFont="1" applyFill="1" applyBorder="1" applyAlignment="1">
      <alignment horizontal="right"/>
      <protection/>
    </xf>
    <xf numFmtId="4" fontId="25" fillId="0" borderId="16" xfId="92" applyNumberFormat="1" applyFont="1" applyFill="1" applyBorder="1" applyAlignment="1">
      <alignment horizontal="right"/>
      <protection/>
    </xf>
    <xf numFmtId="4" fontId="26" fillId="7" borderId="14" xfId="92" applyNumberFormat="1" applyFont="1" applyFill="1" applyBorder="1" applyAlignment="1">
      <alignment horizontal="right"/>
      <protection/>
    </xf>
    <xf numFmtId="4" fontId="24" fillId="7" borderId="14" xfId="92" applyNumberFormat="1" applyFont="1" applyFill="1" applyBorder="1" applyAlignment="1">
      <alignment horizontal="right"/>
      <protection/>
    </xf>
    <xf numFmtId="49" fontId="24" fillId="7" borderId="14" xfId="92" applyNumberFormat="1" applyFont="1" applyFill="1" applyBorder="1" applyAlignment="1">
      <alignment horizontal="center" wrapText="1"/>
      <protection/>
    </xf>
    <xf numFmtId="0" fontId="24" fillId="7" borderId="14" xfId="92" applyFont="1" applyFill="1" applyBorder="1" applyAlignment="1">
      <alignment wrapText="1"/>
      <protection/>
    </xf>
    <xf numFmtId="0" fontId="26" fillId="7" borderId="14" xfId="92" applyFont="1" applyFill="1" applyBorder="1" applyAlignment="1">
      <alignment horizontal="center" wrapText="1"/>
      <protection/>
    </xf>
    <xf numFmtId="49" fontId="24" fillId="0" borderId="17" xfId="92" applyNumberFormat="1" applyFont="1" applyFill="1" applyBorder="1" applyAlignment="1">
      <alignment horizontal="center" wrapText="1"/>
      <protection/>
    </xf>
    <xf numFmtId="0" fontId="24" fillId="0" borderId="17" xfId="92" applyFont="1" applyFill="1" applyBorder="1" applyAlignment="1">
      <alignment wrapText="1"/>
      <protection/>
    </xf>
    <xf numFmtId="0" fontId="25" fillId="7" borderId="16" xfId="92" applyFont="1" applyFill="1" applyBorder="1" applyAlignment="1">
      <alignment horizontal="left" wrapText="1"/>
      <protection/>
    </xf>
    <xf numFmtId="49" fontId="25" fillId="7" borderId="16" xfId="92" applyNumberFormat="1" applyFont="1" applyFill="1" applyBorder="1" applyAlignment="1">
      <alignment horizontal="center" wrapText="1"/>
      <protection/>
    </xf>
    <xf numFmtId="49" fontId="24" fillId="7" borderId="16" xfId="92" applyNumberFormat="1" applyFont="1" applyFill="1" applyBorder="1" applyAlignment="1">
      <alignment horizontal="center" wrapText="1"/>
      <protection/>
    </xf>
    <xf numFmtId="0" fontId="24" fillId="7" borderId="16" xfId="92" applyFont="1" applyFill="1" applyBorder="1" applyAlignment="1">
      <alignment horizontal="center"/>
      <protection/>
    </xf>
    <xf numFmtId="0" fontId="24" fillId="7" borderId="16" xfId="92" applyFont="1" applyFill="1" applyBorder="1" applyAlignment="1">
      <alignment wrapText="1"/>
      <protection/>
    </xf>
    <xf numFmtId="49" fontId="25" fillId="0" borderId="14" xfId="92" applyNumberFormat="1" applyFont="1" applyFill="1" applyBorder="1" applyAlignment="1">
      <alignment horizontal="center" wrapText="1"/>
      <protection/>
    </xf>
    <xf numFmtId="4" fontId="25" fillId="0" borderId="14" xfId="92" applyNumberFormat="1" applyFont="1" applyFill="1" applyBorder="1" applyAlignment="1">
      <alignment horizontal="right"/>
      <protection/>
    </xf>
    <xf numFmtId="0" fontId="26" fillId="0" borderId="17" xfId="92" applyFont="1" applyFill="1" applyBorder="1" applyAlignment="1">
      <alignment horizontal="center"/>
      <protection/>
    </xf>
    <xf numFmtId="4" fontId="27" fillId="0" borderId="16" xfId="92" applyNumberFormat="1" applyFont="1" applyFill="1" applyBorder="1" applyAlignment="1">
      <alignment horizontal="right"/>
      <protection/>
    </xf>
    <xf numFmtId="4" fontId="27" fillId="7" borderId="16" xfId="92" applyNumberFormat="1" applyFont="1" applyFill="1" applyBorder="1" applyAlignment="1">
      <alignment horizontal="right"/>
      <protection/>
    </xf>
    <xf numFmtId="0" fontId="24" fillId="0" borderId="57" xfId="92" applyFont="1" applyFill="1" applyBorder="1" applyAlignment="1">
      <alignment horizontal="left" wrapText="1"/>
      <protection/>
    </xf>
    <xf numFmtId="0" fontId="24" fillId="0" borderId="57" xfId="92" applyFont="1" applyFill="1" applyBorder="1" applyAlignment="1">
      <alignment horizontal="center" wrapText="1"/>
      <protection/>
    </xf>
    <xf numFmtId="0" fontId="24" fillId="0" borderId="57" xfId="92" applyFont="1" applyFill="1" applyBorder="1" applyAlignment="1">
      <alignment horizontal="center"/>
      <protection/>
    </xf>
    <xf numFmtId="4" fontId="24" fillId="0" borderId="57" xfId="92" applyNumberFormat="1" applyFont="1" applyFill="1" applyBorder="1" applyAlignment="1">
      <alignment horizontal="right"/>
      <protection/>
    </xf>
    <xf numFmtId="0" fontId="25" fillId="0" borderId="24" xfId="92" applyFont="1" applyFill="1" applyBorder="1" applyAlignment="1">
      <alignment wrapText="1"/>
      <protection/>
    </xf>
    <xf numFmtId="0" fontId="25" fillId="0" borderId="24" xfId="92" applyFont="1" applyFill="1" applyBorder="1" applyAlignment="1">
      <alignment horizontal="center" wrapText="1"/>
      <protection/>
    </xf>
    <xf numFmtId="49" fontId="25" fillId="0" borderId="24" xfId="92" applyNumberFormat="1" applyFont="1" applyFill="1" applyBorder="1" applyAlignment="1">
      <alignment horizontal="center" wrapText="1"/>
      <protection/>
    </xf>
    <xf numFmtId="4" fontId="27" fillId="7" borderId="24" xfId="92" applyNumberFormat="1" applyFont="1" applyFill="1" applyBorder="1" applyAlignment="1">
      <alignment horizontal="right"/>
      <protection/>
    </xf>
    <xf numFmtId="49" fontId="18" fillId="0" borderId="0" xfId="0" applyNumberFormat="1" applyFont="1" applyBorder="1" applyAlignment="1">
      <alignment horizontal="center"/>
    </xf>
    <xf numFmtId="49" fontId="25" fillId="0" borderId="0" xfId="92" applyNumberFormat="1" applyFont="1" applyFill="1" applyAlignment="1">
      <alignment horizontal="center" vertical="center" wrapText="1"/>
      <protection/>
    </xf>
    <xf numFmtId="49" fontId="24" fillId="0" borderId="0" xfId="92" applyNumberFormat="1" applyFont="1" applyFill="1" applyAlignment="1">
      <alignment horizontal="center" vertical="top" wrapText="1"/>
      <protection/>
    </xf>
    <xf numFmtId="49" fontId="31" fillId="0" borderId="0" xfId="92" applyNumberFormat="1" applyFont="1" applyFill="1" applyAlignment="1">
      <alignment horizontal="center" vertical="top" wrapText="1"/>
      <protection/>
    </xf>
    <xf numFmtId="0" fontId="24" fillId="0" borderId="0" xfId="92" applyFont="1" applyFill="1" applyAlignment="1">
      <alignment horizontal="center" vertical="center" wrapText="1"/>
      <protection/>
    </xf>
    <xf numFmtId="49" fontId="24" fillId="0" borderId="0" xfId="92" applyNumberFormat="1" applyFont="1" applyFill="1" applyAlignment="1">
      <alignment horizontal="center" vertical="center" wrapText="1"/>
      <protection/>
    </xf>
    <xf numFmtId="4" fontId="24" fillId="0" borderId="0" xfId="92" applyNumberFormat="1" applyFont="1" applyFill="1" applyAlignment="1">
      <alignment horizontal="right" vertical="center"/>
      <protection/>
    </xf>
    <xf numFmtId="49" fontId="25" fillId="0" borderId="0" xfId="92" applyNumberFormat="1" applyFont="1" applyFill="1" applyAlignment="1">
      <alignment horizontal="centerContinuous" vertical="center" wrapText="1"/>
      <protection/>
    </xf>
    <xf numFmtId="4" fontId="25" fillId="0" borderId="0" xfId="92" applyNumberFormat="1" applyFont="1" applyFill="1" applyAlignment="1">
      <alignment horizontal="centerContinuous" vertical="center" wrapText="1"/>
      <protection/>
    </xf>
    <xf numFmtId="49" fontId="24" fillId="0" borderId="0" xfId="92" applyNumberFormat="1" applyFont="1" applyFill="1" applyAlignment="1">
      <alignment horizontal="right" vertical="center" wrapText="1"/>
      <protection/>
    </xf>
    <xf numFmtId="0" fontId="30" fillId="0" borderId="15" xfId="92" applyFont="1" applyFill="1" applyBorder="1" applyAlignment="1">
      <alignment horizontal="center" vertical="center" wrapText="1"/>
      <protection/>
    </xf>
    <xf numFmtId="49" fontId="30" fillId="0" borderId="15" xfId="92" applyNumberFormat="1" applyFont="1" applyFill="1" applyBorder="1" applyAlignment="1">
      <alignment horizontal="center" vertical="center" wrapText="1"/>
      <protection/>
    </xf>
    <xf numFmtId="4" fontId="30" fillId="0" borderId="15" xfId="92" applyNumberFormat="1" applyFont="1" applyFill="1" applyBorder="1" applyAlignment="1">
      <alignment horizontal="center" vertical="center" wrapText="1"/>
      <protection/>
    </xf>
    <xf numFmtId="4" fontId="30" fillId="0" borderId="15" xfId="92" applyNumberFormat="1" applyFont="1" applyFill="1" applyBorder="1" applyAlignment="1">
      <alignment horizontal="center" vertical="center"/>
      <protection/>
    </xf>
    <xf numFmtId="0" fontId="25" fillId="0" borderId="34" xfId="92" applyFont="1" applyFill="1" applyBorder="1" applyAlignment="1">
      <alignment horizontal="left" wrapText="1"/>
      <protection/>
    </xf>
    <xf numFmtId="0" fontId="25" fillId="0" borderId="51" xfId="92" applyFont="1" applyFill="1" applyBorder="1" applyAlignment="1">
      <alignment horizontal="center" wrapText="1"/>
      <protection/>
    </xf>
    <xf numFmtId="0" fontId="24" fillId="0" borderId="51" xfId="92" applyFont="1" applyFill="1" applyBorder="1" applyAlignment="1">
      <alignment horizontal="center" wrapText="1"/>
      <protection/>
    </xf>
    <xf numFmtId="4" fontId="25" fillId="0" borderId="51" xfId="92" applyNumberFormat="1" applyFont="1" applyFill="1" applyBorder="1" applyAlignment="1">
      <alignment horizontal="right"/>
      <protection/>
    </xf>
    <xf numFmtId="0" fontId="25" fillId="0" borderId="16" xfId="92" applyFont="1" applyFill="1" applyBorder="1" applyAlignment="1">
      <alignment horizontal="left" wrapText="1"/>
      <protection/>
    </xf>
    <xf numFmtId="0" fontId="24" fillId="7" borderId="16" xfId="92" applyFont="1" applyFill="1" applyBorder="1" applyAlignment="1">
      <alignment horizontal="center" wrapText="1"/>
      <protection/>
    </xf>
    <xf numFmtId="0" fontId="24" fillId="0" borderId="16" xfId="92" applyFont="1" applyFill="1" applyBorder="1" applyAlignment="1">
      <alignment wrapText="1"/>
      <protection/>
    </xf>
    <xf numFmtId="0" fontId="25" fillId="0" borderId="24" xfId="92" applyFont="1" applyFill="1" applyBorder="1" applyAlignment="1">
      <alignment horizontal="left" wrapText="1"/>
      <protection/>
    </xf>
    <xf numFmtId="0" fontId="24" fillId="7" borderId="24" xfId="92" applyFont="1" applyFill="1" applyBorder="1" applyAlignment="1">
      <alignment horizontal="center" wrapText="1"/>
      <protection/>
    </xf>
    <xf numFmtId="0" fontId="24" fillId="7" borderId="24" xfId="92" applyFont="1" applyFill="1" applyBorder="1" applyAlignment="1">
      <alignment horizontal="center"/>
      <protection/>
    </xf>
    <xf numFmtId="0" fontId="24" fillId="0" borderId="24" xfId="92" applyFont="1" applyFill="1" applyBorder="1" applyAlignment="1">
      <alignment wrapText="1"/>
      <protection/>
    </xf>
    <xf numFmtId="4" fontId="25" fillId="0" borderId="24" xfId="92" applyNumberFormat="1" applyFont="1" applyFill="1" applyBorder="1" applyAlignment="1">
      <alignment horizontal="right"/>
      <protection/>
    </xf>
    <xf numFmtId="0" fontId="25" fillId="0" borderId="58" xfId="92" applyFont="1" applyFill="1" applyBorder="1" applyAlignment="1">
      <alignment horizontal="left" wrapText="1"/>
      <protection/>
    </xf>
    <xf numFmtId="0" fontId="24" fillId="0" borderId="58" xfId="92" applyFont="1" applyFill="1" applyBorder="1" applyAlignment="1">
      <alignment horizontal="center" wrapText="1"/>
      <protection/>
    </xf>
    <xf numFmtId="0" fontId="24" fillId="0" borderId="58" xfId="92" applyFont="1" applyFill="1" applyBorder="1" applyAlignment="1">
      <alignment horizontal="center"/>
      <protection/>
    </xf>
    <xf numFmtId="0" fontId="24" fillId="0" borderId="58" xfId="92" applyFont="1" applyFill="1" applyBorder="1" applyAlignment="1">
      <alignment wrapText="1"/>
      <protection/>
    </xf>
    <xf numFmtId="4" fontId="26" fillId="0" borderId="58" xfId="92" applyNumberFormat="1" applyFont="1" applyFill="1" applyBorder="1" applyAlignment="1">
      <alignment horizontal="right"/>
      <protection/>
    </xf>
    <xf numFmtId="0" fontId="25" fillId="0" borderId="64" xfId="92" applyFont="1" applyFill="1" applyBorder="1" applyAlignment="1">
      <alignment wrapText="1"/>
      <protection/>
    </xf>
    <xf numFmtId="0" fontId="24" fillId="0" borderId="55" xfId="92" applyFont="1" applyFill="1" applyBorder="1" applyAlignment="1">
      <alignment horizontal="center"/>
      <protection/>
    </xf>
    <xf numFmtId="4" fontId="24" fillId="0" borderId="55" xfId="92" applyNumberFormat="1" applyFont="1" applyFill="1" applyBorder="1" applyAlignment="1">
      <alignment horizontal="right"/>
      <protection/>
    </xf>
    <xf numFmtId="0" fontId="24" fillId="0" borderId="60" xfId="94" applyFont="1" applyFill="1" applyBorder="1" applyAlignment="1">
      <alignment horizontal="center" wrapText="1"/>
      <protection/>
    </xf>
    <xf numFmtId="4" fontId="24" fillId="0" borderId="60" xfId="94" applyNumberFormat="1" applyFont="1" applyFill="1" applyBorder="1" applyAlignment="1">
      <alignment horizontal="right"/>
      <protection/>
    </xf>
    <xf numFmtId="0" fontId="32" fillId="0" borderId="56" xfId="0" applyFont="1" applyBorder="1" applyAlignment="1">
      <alignment wrapText="1"/>
    </xf>
    <xf numFmtId="0" fontId="24" fillId="0" borderId="0" xfId="92" applyFont="1" applyFill="1" applyAlignment="1">
      <alignment horizontal="right" vertical="top"/>
      <protection/>
    </xf>
    <xf numFmtId="0" fontId="24" fillId="0" borderId="0" xfId="92" applyFont="1" applyFill="1" applyBorder="1" applyAlignment="1">
      <alignment wrapText="1"/>
      <protection/>
    </xf>
    <xf numFmtId="0" fontId="24" fillId="0" borderId="0" xfId="92" applyFont="1" applyFill="1" applyAlignment="1">
      <alignment horizontal="right" vertical="center"/>
      <protection/>
    </xf>
    <xf numFmtId="4" fontId="24" fillId="0" borderId="0" xfId="92" applyNumberFormat="1" applyFont="1" applyFill="1" applyBorder="1" applyAlignment="1">
      <alignment wrapText="1"/>
      <protection/>
    </xf>
    <xf numFmtId="0" fontId="30" fillId="0" borderId="56" xfId="92" applyFont="1" applyFill="1" applyBorder="1" applyAlignment="1">
      <alignment horizontal="center" vertical="center" wrapText="1"/>
      <protection/>
    </xf>
    <xf numFmtId="0" fontId="25" fillId="0" borderId="51" xfId="92" applyFont="1" applyFill="1" applyBorder="1" applyAlignment="1">
      <alignment horizontal="left" wrapText="1"/>
      <protection/>
    </xf>
    <xf numFmtId="4" fontId="25" fillId="7" borderId="0" xfId="92" applyNumberFormat="1" applyFont="1" applyFill="1" applyBorder="1" applyAlignment="1">
      <alignment horizontal="right"/>
      <protection/>
    </xf>
    <xf numFmtId="0" fontId="25" fillId="0" borderId="65" xfId="92" applyFont="1" applyFill="1" applyBorder="1" applyAlignment="1">
      <alignment horizontal="left" wrapText="1"/>
      <protection/>
    </xf>
    <xf numFmtId="0" fontId="25" fillId="0" borderId="58" xfId="92" applyFont="1" applyFill="1" applyBorder="1" applyAlignment="1">
      <alignment horizontal="center"/>
      <protection/>
    </xf>
    <xf numFmtId="0" fontId="25" fillId="0" borderId="58" xfId="92" applyFont="1" applyFill="1" applyBorder="1" applyAlignment="1">
      <alignment horizontal="center" wrapText="1"/>
      <protection/>
    </xf>
    <xf numFmtId="4" fontId="25" fillId="0" borderId="58" xfId="92" applyNumberFormat="1" applyFont="1" applyFill="1" applyBorder="1" applyAlignment="1">
      <alignment horizontal="right"/>
      <protection/>
    </xf>
    <xf numFmtId="4" fontId="25" fillId="0" borderId="66" xfId="92" applyNumberFormat="1" applyFont="1" applyFill="1" applyBorder="1" applyAlignment="1">
      <alignment horizontal="right"/>
      <protection/>
    </xf>
    <xf numFmtId="0" fontId="26" fillId="0" borderId="31" xfId="92" applyFont="1" applyFill="1" applyBorder="1" applyAlignment="1">
      <alignment horizontal="left" wrapText="1"/>
      <protection/>
    </xf>
    <xf numFmtId="4" fontId="26" fillId="0" borderId="67" xfId="92" applyNumberFormat="1" applyFont="1" applyFill="1" applyBorder="1" applyAlignment="1">
      <alignment horizontal="right"/>
      <protection/>
    </xf>
    <xf numFmtId="0" fontId="24" fillId="0" borderId="31" xfId="92" applyFont="1" applyFill="1" applyBorder="1" applyAlignment="1">
      <alignment wrapText="1"/>
      <protection/>
    </xf>
    <xf numFmtId="0" fontId="24" fillId="0" borderId="31" xfId="92" applyFont="1" applyFill="1" applyBorder="1" applyAlignment="1">
      <alignment horizontal="left" wrapText="1"/>
      <protection/>
    </xf>
    <xf numFmtId="4" fontId="24" fillId="0" borderId="67" xfId="92" applyNumberFormat="1" applyFont="1" applyFill="1" applyBorder="1" applyAlignment="1">
      <alignment horizontal="right"/>
      <protection/>
    </xf>
    <xf numFmtId="0" fontId="24" fillId="0" borderId="68" xfId="92" applyFont="1" applyFill="1" applyBorder="1" applyAlignment="1">
      <alignment horizontal="left" wrapText="1"/>
      <protection/>
    </xf>
    <xf numFmtId="4" fontId="24" fillId="0" borderId="41" xfId="92" applyNumberFormat="1" applyFont="1" applyFill="1" applyBorder="1" applyAlignment="1">
      <alignment horizontal="right"/>
      <protection/>
    </xf>
    <xf numFmtId="0" fontId="25" fillId="0" borderId="69" xfId="92" applyFont="1" applyFill="1" applyBorder="1" applyAlignment="1">
      <alignment horizontal="left" wrapText="1"/>
      <protection/>
    </xf>
    <xf numFmtId="0" fontId="25" fillId="0" borderId="16" xfId="92" applyFont="1" applyFill="1" applyBorder="1" applyAlignment="1">
      <alignment horizontal="center"/>
      <protection/>
    </xf>
    <xf numFmtId="4" fontId="25" fillId="0" borderId="70" xfId="92" applyNumberFormat="1" applyFont="1" applyFill="1" applyBorder="1" applyAlignment="1">
      <alignment horizontal="right"/>
      <protection/>
    </xf>
    <xf numFmtId="0" fontId="25" fillId="0" borderId="14" xfId="92" applyFont="1" applyFill="1" applyBorder="1" applyAlignment="1">
      <alignment horizontal="center"/>
      <protection/>
    </xf>
    <xf numFmtId="4" fontId="24" fillId="0" borderId="71" xfId="92" applyNumberFormat="1" applyFont="1" applyFill="1" applyBorder="1" applyAlignment="1">
      <alignment horizontal="right"/>
      <protection/>
    </xf>
    <xf numFmtId="4" fontId="24" fillId="7" borderId="67" xfId="92" applyNumberFormat="1" applyFont="1" applyFill="1" applyBorder="1" applyAlignment="1">
      <alignment horizontal="right"/>
      <protection/>
    </xf>
    <xf numFmtId="0" fontId="24" fillId="0" borderId="72" xfId="92" applyFont="1" applyFill="1" applyBorder="1" applyAlignment="1">
      <alignment horizontal="left" wrapText="1"/>
      <protection/>
    </xf>
    <xf numFmtId="0" fontId="24" fillId="0" borderId="54" xfId="92" applyFont="1" applyFill="1" applyBorder="1" applyAlignment="1">
      <alignment horizontal="center"/>
      <protection/>
    </xf>
    <xf numFmtId="0" fontId="24" fillId="0" borderId="54" xfId="92" applyFont="1" applyFill="1" applyBorder="1" applyAlignment="1">
      <alignment horizontal="center" wrapText="1"/>
      <protection/>
    </xf>
    <xf numFmtId="4" fontId="24" fillId="0" borderId="54" xfId="92" applyNumberFormat="1" applyFont="1" applyFill="1" applyBorder="1" applyAlignment="1">
      <alignment horizontal="right"/>
      <protection/>
    </xf>
    <xf numFmtId="4" fontId="24" fillId="0" borderId="73" xfId="92" applyNumberFormat="1" applyFont="1" applyFill="1" applyBorder="1" applyAlignment="1">
      <alignment horizontal="right"/>
      <protection/>
    </xf>
    <xf numFmtId="0" fontId="26" fillId="0" borderId="31" xfId="92" applyFont="1" applyFill="1" applyBorder="1" applyAlignment="1">
      <alignment wrapText="1"/>
      <protection/>
    </xf>
    <xf numFmtId="0" fontId="25" fillId="0" borderId="37" xfId="92" applyFont="1" applyFill="1" applyBorder="1" applyAlignment="1">
      <alignment horizontal="left" wrapText="1"/>
      <protection/>
    </xf>
    <xf numFmtId="0" fontId="25" fillId="0" borderId="38" xfId="92" applyFont="1" applyFill="1" applyBorder="1" applyAlignment="1">
      <alignment horizontal="center"/>
      <protection/>
    </xf>
    <xf numFmtId="0" fontId="25" fillId="0" borderId="38" xfId="92" applyFont="1" applyFill="1" applyBorder="1" applyAlignment="1">
      <alignment horizontal="center" wrapText="1"/>
      <protection/>
    </xf>
    <xf numFmtId="4" fontId="25" fillId="0" borderId="38" xfId="92" applyNumberFormat="1" applyFont="1" applyFill="1" applyBorder="1" applyAlignment="1">
      <alignment horizontal="right"/>
      <protection/>
    </xf>
    <xf numFmtId="4" fontId="25" fillId="0" borderId="42" xfId="92" applyNumberFormat="1" applyFont="1" applyFill="1" applyBorder="1" applyAlignment="1">
      <alignment horizontal="right"/>
      <protection/>
    </xf>
    <xf numFmtId="0" fontId="26" fillId="0" borderId="32" xfId="92" applyFont="1" applyFill="1" applyBorder="1" applyAlignment="1">
      <alignment horizontal="left" wrapText="1"/>
      <protection/>
    </xf>
    <xf numFmtId="0" fontId="26" fillId="0" borderId="30" xfId="92" applyFont="1" applyFill="1" applyBorder="1" applyAlignment="1">
      <alignment horizontal="center"/>
      <protection/>
    </xf>
    <xf numFmtId="0" fontId="25" fillId="0" borderId="30" xfId="92" applyFont="1" applyFill="1" applyBorder="1" applyAlignment="1">
      <alignment horizontal="center" wrapText="1"/>
      <protection/>
    </xf>
    <xf numFmtId="4" fontId="26" fillId="0" borderId="30" xfId="92" applyNumberFormat="1" applyFont="1" applyFill="1" applyBorder="1" applyAlignment="1">
      <alignment horizontal="right"/>
      <protection/>
    </xf>
    <xf numFmtId="4" fontId="26" fillId="0" borderId="43" xfId="92" applyNumberFormat="1" applyFont="1" applyFill="1" applyBorder="1" applyAlignment="1">
      <alignment horizontal="right"/>
      <protection/>
    </xf>
    <xf numFmtId="0" fontId="24" fillId="0" borderId="30" xfId="92" applyFont="1" applyFill="1" applyBorder="1" applyAlignment="1">
      <alignment horizontal="center"/>
      <protection/>
    </xf>
    <xf numFmtId="0" fontId="24" fillId="0" borderId="39" xfId="92" applyFont="1" applyFill="1" applyBorder="1" applyAlignment="1">
      <alignment horizontal="left" wrapText="1"/>
      <protection/>
    </xf>
    <xf numFmtId="0" fontId="24" fillId="0" borderId="40" xfId="92" applyFont="1" applyFill="1" applyBorder="1" applyAlignment="1">
      <alignment horizontal="center"/>
      <protection/>
    </xf>
    <xf numFmtId="0" fontId="24" fillId="0" borderId="40" xfId="92" applyFont="1" applyFill="1" applyBorder="1" applyAlignment="1">
      <alignment horizontal="center" wrapText="1"/>
      <protection/>
    </xf>
    <xf numFmtId="4" fontId="24" fillId="0" borderId="40" xfId="92" applyNumberFormat="1" applyFont="1" applyFill="1" applyBorder="1" applyAlignment="1">
      <alignment horizontal="right"/>
      <protection/>
    </xf>
    <xf numFmtId="4" fontId="24" fillId="0" borderId="44" xfId="92" applyNumberFormat="1" applyFont="1" applyFill="1" applyBorder="1" applyAlignment="1">
      <alignment horizontal="right"/>
      <protection/>
    </xf>
    <xf numFmtId="0" fontId="24" fillId="0" borderId="74" xfId="92" applyFont="1" applyFill="1" applyBorder="1" applyAlignment="1">
      <alignment horizontal="left" wrapText="1"/>
      <protection/>
    </xf>
    <xf numFmtId="0" fontId="33" fillId="0" borderId="58" xfId="92" applyFont="1" applyFill="1" applyBorder="1" applyAlignment="1">
      <alignment horizontal="center" wrapText="1"/>
      <protection/>
    </xf>
    <xf numFmtId="0" fontId="33" fillId="0" borderId="16" xfId="92" applyFont="1" applyFill="1" applyBorder="1" applyAlignment="1">
      <alignment horizontal="center" wrapText="1"/>
      <protection/>
    </xf>
    <xf numFmtId="0" fontId="25" fillId="0" borderId="75" xfId="92" applyFont="1" applyFill="1" applyBorder="1" applyAlignment="1">
      <alignment horizontal="left" wrapText="1"/>
      <protection/>
    </xf>
    <xf numFmtId="0" fontId="25" fillId="0" borderId="52" xfId="92" applyFont="1" applyFill="1" applyBorder="1" applyAlignment="1">
      <alignment horizontal="center" wrapText="1"/>
      <protection/>
    </xf>
    <xf numFmtId="4" fontId="25" fillId="0" borderId="52" xfId="92" applyNumberFormat="1" applyFont="1" applyFill="1" applyBorder="1" applyAlignment="1">
      <alignment horizontal="right"/>
      <protection/>
    </xf>
    <xf numFmtId="4" fontId="25" fillId="0" borderId="76" xfId="92" applyNumberFormat="1" applyFont="1" applyFill="1" applyBorder="1" applyAlignment="1">
      <alignment horizontal="right"/>
      <protection/>
    </xf>
    <xf numFmtId="0" fontId="24" fillId="0" borderId="31" xfId="92" applyFont="1" applyFill="1" applyBorder="1" applyAlignment="1">
      <alignment wrapText="1"/>
      <protection/>
    </xf>
    <xf numFmtId="0" fontId="24" fillId="0" borderId="31" xfId="92" applyFont="1" applyFill="1" applyBorder="1" applyAlignment="1">
      <alignment horizontal="left" wrapText="1"/>
      <protection/>
    </xf>
    <xf numFmtId="4" fontId="24" fillId="0" borderId="67" xfId="92" applyNumberFormat="1" applyFont="1" applyFill="1" applyBorder="1" applyAlignment="1">
      <alignment horizontal="right"/>
      <protection/>
    </xf>
    <xf numFmtId="0" fontId="24" fillId="0" borderId="31" xfId="92" applyFont="1" applyFill="1" applyBorder="1" applyAlignment="1">
      <alignment horizontal="left"/>
      <protection/>
    </xf>
    <xf numFmtId="4" fontId="26" fillId="0" borderId="67" xfId="92" applyNumberFormat="1" applyFont="1" applyFill="1" applyBorder="1" applyAlignment="1">
      <alignment horizontal="right"/>
      <protection/>
    </xf>
    <xf numFmtId="0" fontId="24" fillId="0" borderId="0" xfId="92" applyFont="1" applyFill="1" applyBorder="1" applyAlignment="1">
      <alignment vertical="top" wrapText="1"/>
      <protection/>
    </xf>
    <xf numFmtId="0" fontId="24" fillId="0" borderId="31" xfId="92" applyFont="1" applyFill="1" applyBorder="1" applyAlignment="1">
      <alignment horizontal="left"/>
      <protection/>
    </xf>
    <xf numFmtId="0" fontId="25" fillId="0" borderId="77" xfId="92" applyFont="1" applyFill="1" applyBorder="1" applyAlignment="1">
      <alignment horizontal="left" wrapText="1"/>
      <protection/>
    </xf>
    <xf numFmtId="0" fontId="25" fillId="0" borderId="78" xfId="92" applyFont="1" applyFill="1" applyBorder="1" applyAlignment="1">
      <alignment horizontal="center" wrapText="1"/>
      <protection/>
    </xf>
    <xf numFmtId="4" fontId="25" fillId="0" borderId="78" xfId="92" applyNumberFormat="1" applyFont="1" applyFill="1" applyBorder="1" applyAlignment="1">
      <alignment horizontal="right"/>
      <protection/>
    </xf>
    <xf numFmtId="4" fontId="25" fillId="0" borderId="79" xfId="92" applyNumberFormat="1" applyFont="1" applyFill="1" applyBorder="1" applyAlignment="1">
      <alignment horizontal="right"/>
      <protection/>
    </xf>
    <xf numFmtId="0" fontId="24" fillId="0" borderId="32" xfId="92" applyFont="1" applyFill="1" applyBorder="1" applyAlignment="1">
      <alignment horizontal="left" wrapText="1"/>
      <protection/>
    </xf>
    <xf numFmtId="0" fontId="24" fillId="0" borderId="30" xfId="92" applyFont="1" applyFill="1" applyBorder="1" applyAlignment="1">
      <alignment horizontal="center" wrapText="1"/>
      <protection/>
    </xf>
    <xf numFmtId="0" fontId="24" fillId="0" borderId="32" xfId="92" applyFont="1" applyFill="1" applyBorder="1" applyAlignment="1">
      <alignment wrapText="1"/>
      <protection/>
    </xf>
    <xf numFmtId="0" fontId="28" fillId="0" borderId="30" xfId="92" applyFont="1" applyFill="1" applyBorder="1" applyAlignment="1">
      <alignment horizontal="center" wrapText="1"/>
      <protection/>
    </xf>
    <xf numFmtId="0" fontId="24" fillId="0" borderId="24" xfId="92" applyFont="1" applyFill="1" applyBorder="1" applyAlignment="1">
      <alignment horizontal="center" wrapText="1"/>
      <protection/>
    </xf>
    <xf numFmtId="4" fontId="24" fillId="0" borderId="24" xfId="92" applyNumberFormat="1" applyFont="1" applyFill="1" applyBorder="1" applyAlignment="1">
      <alignment horizontal="right"/>
      <protection/>
    </xf>
    <xf numFmtId="4" fontId="26" fillId="0" borderId="0" xfId="92" applyNumberFormat="1" applyFont="1" applyFill="1" applyBorder="1" applyAlignment="1">
      <alignment horizontal="right"/>
      <protection/>
    </xf>
    <xf numFmtId="4" fontId="24" fillId="0" borderId="0" xfId="92" applyNumberFormat="1" applyFont="1" applyFill="1" applyBorder="1" applyAlignment="1">
      <alignment horizontal="right"/>
      <protection/>
    </xf>
    <xf numFmtId="4" fontId="25" fillId="0" borderId="0" xfId="92" applyNumberFormat="1" applyFont="1" applyFill="1" applyBorder="1" applyAlignment="1">
      <alignment horizontal="right"/>
      <protection/>
    </xf>
    <xf numFmtId="4" fontId="26" fillId="7" borderId="0" xfId="92" applyNumberFormat="1" applyFont="1" applyFill="1" applyBorder="1" applyAlignment="1">
      <alignment horizontal="right"/>
      <protection/>
    </xf>
    <xf numFmtId="0" fontId="24" fillId="0" borderId="18" xfId="93" applyFont="1" applyFill="1" applyBorder="1" applyAlignment="1">
      <alignment horizontal="left" wrapText="1"/>
      <protection/>
    </xf>
    <xf numFmtId="0" fontId="24" fillId="0" borderId="14" xfId="93" applyFont="1" applyFill="1" applyBorder="1" applyAlignment="1">
      <alignment horizontal="left" wrapText="1"/>
      <protection/>
    </xf>
    <xf numFmtId="0" fontId="24" fillId="0" borderId="14" xfId="93" applyFont="1" applyFill="1" applyBorder="1" applyAlignment="1">
      <alignment horizontal="center" wrapText="1"/>
      <protection/>
    </xf>
    <xf numFmtId="49" fontId="24" fillId="0" borderId="14" xfId="93" applyNumberFormat="1" applyFont="1" applyFill="1" applyBorder="1" applyAlignment="1">
      <alignment horizontal="center" wrapText="1"/>
      <protection/>
    </xf>
    <xf numFmtId="0" fontId="25" fillId="0" borderId="14" xfId="93" applyFont="1" applyFill="1" applyBorder="1" applyAlignment="1">
      <alignment horizontal="left" wrapText="1"/>
      <protection/>
    </xf>
    <xf numFmtId="0" fontId="24" fillId="0" borderId="14" xfId="93" applyFont="1" applyFill="1" applyBorder="1" applyAlignment="1">
      <alignment horizontal="center"/>
      <protection/>
    </xf>
    <xf numFmtId="0" fontId="26" fillId="0" borderId="14" xfId="93" applyFont="1" applyFill="1" applyBorder="1" applyAlignment="1">
      <alignment horizontal="left" wrapText="1"/>
      <protection/>
    </xf>
    <xf numFmtId="0" fontId="26" fillId="7" borderId="14" xfId="93" applyFont="1" applyFill="1" applyBorder="1" applyAlignment="1">
      <alignment horizontal="left" wrapText="1"/>
      <protection/>
    </xf>
    <xf numFmtId="0" fontId="24" fillId="0" borderId="56" xfId="94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4" fillId="0" borderId="24" xfId="0" applyFont="1" applyFill="1" applyBorder="1" applyAlignment="1">
      <alignment wrapText="1"/>
    </xf>
    <xf numFmtId="0" fontId="24" fillId="41" borderId="0" xfId="94" applyFont="1" applyFill="1" applyAlignment="1">
      <alignment vertical="top" wrapText="1"/>
      <protection/>
    </xf>
    <xf numFmtId="0" fontId="25" fillId="0" borderId="16" xfId="93" applyFont="1" applyFill="1" applyBorder="1" applyAlignment="1">
      <alignment wrapText="1"/>
      <protection/>
    </xf>
    <xf numFmtId="0" fontId="24" fillId="7" borderId="14" xfId="93" applyFont="1" applyFill="1" applyBorder="1" applyAlignment="1">
      <alignment horizontal="center" wrapText="1"/>
      <protection/>
    </xf>
    <xf numFmtId="0" fontId="24" fillId="7" borderId="14" xfId="93" applyFont="1" applyFill="1" applyBorder="1" applyAlignment="1">
      <alignment horizontal="center"/>
      <protection/>
    </xf>
    <xf numFmtId="0" fontId="24" fillId="7" borderId="14" xfId="93" applyFont="1" applyFill="1" applyBorder="1" applyAlignment="1">
      <alignment horizontal="left" wrapText="1"/>
      <protection/>
    </xf>
    <xf numFmtId="4" fontId="24" fillId="7" borderId="14" xfId="93" applyNumberFormat="1" applyFont="1" applyFill="1" applyBorder="1" applyAlignment="1">
      <alignment horizontal="right"/>
      <protection/>
    </xf>
    <xf numFmtId="0" fontId="24" fillId="0" borderId="0" xfId="93" applyFont="1" applyFill="1" applyBorder="1" applyAlignment="1">
      <alignment horizontal="left" wrapText="1"/>
      <protection/>
    </xf>
    <xf numFmtId="0" fontId="24" fillId="0" borderId="14" xfId="93" applyFont="1" applyFill="1" applyBorder="1" applyAlignment="1">
      <alignment wrapText="1"/>
      <protection/>
    </xf>
    <xf numFmtId="49" fontId="31" fillId="0" borderId="0" xfId="94" applyNumberFormat="1" applyFont="1" applyFill="1" applyAlignment="1">
      <alignment horizontal="center" vertical="top" wrapText="1"/>
      <protection/>
    </xf>
    <xf numFmtId="0" fontId="0" fillId="0" borderId="54" xfId="98" applyFont="1" applyBorder="1" applyAlignment="1">
      <alignment horizontal="center" vertical="top" wrapText="1"/>
      <protection/>
    </xf>
    <xf numFmtId="0" fontId="0" fillId="0" borderId="54" xfId="98" applyFont="1" applyBorder="1" applyAlignment="1">
      <alignment vertical="top" wrapText="1"/>
      <protection/>
    </xf>
    <xf numFmtId="2" fontId="0" fillId="0" borderId="54" xfId="98" applyNumberFormat="1" applyFont="1" applyBorder="1" applyAlignment="1">
      <alignment horizontal="center" vertical="top" wrapText="1"/>
      <protection/>
    </xf>
    <xf numFmtId="49" fontId="0" fillId="0" borderId="45" xfId="0" applyNumberFormat="1" applyFont="1" applyBorder="1" applyAlignment="1">
      <alignment horizontal="center" vertical="top" wrapText="1"/>
    </xf>
    <xf numFmtId="0" fontId="24" fillId="0" borderId="80" xfId="93" applyFont="1" applyFill="1" applyBorder="1" applyAlignment="1">
      <alignment horizontal="center" wrapText="1"/>
      <protection/>
    </xf>
    <xf numFmtId="0" fontId="26" fillId="0" borderId="57" xfId="93" applyFont="1" applyFill="1" applyBorder="1" applyAlignment="1">
      <alignment horizontal="left" wrapText="1"/>
      <protection/>
    </xf>
    <xf numFmtId="0" fontId="24" fillId="0" borderId="24" xfId="93" applyFont="1" applyFill="1" applyBorder="1" applyAlignment="1">
      <alignment horizontal="left" wrapText="1"/>
      <protection/>
    </xf>
    <xf numFmtId="49" fontId="1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4" fillId="0" borderId="80" xfId="93" applyFont="1" applyFill="1" applyBorder="1" applyAlignment="1">
      <alignment horizontal="center"/>
      <protection/>
    </xf>
    <xf numFmtId="49" fontId="19" fillId="0" borderId="81" xfId="0" applyNumberFormat="1" applyFont="1" applyBorder="1" applyAlignment="1">
      <alignment horizontal="center" vertical="center" wrapText="1"/>
    </xf>
    <xf numFmtId="49" fontId="19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8" fillId="0" borderId="0" xfId="0" applyNumberFormat="1" applyFont="1" applyBorder="1" applyAlignment="1">
      <alignment/>
    </xf>
    <xf numFmtId="0" fontId="0" fillId="0" borderId="0" xfId="98" applyFont="1" applyBorder="1" applyAlignment="1">
      <alignment horizontal="center" wrapText="1"/>
      <protection/>
    </xf>
    <xf numFmtId="49" fontId="0" fillId="0" borderId="26" xfId="96" applyNumberFormat="1" applyFont="1" applyBorder="1" applyAlignment="1">
      <alignment vertical="top" wrapText="1"/>
      <protection/>
    </xf>
    <xf numFmtId="49" fontId="0" fillId="0" borderId="26" xfId="96" applyNumberFormat="1" applyFont="1" applyBorder="1" applyAlignment="1">
      <alignment horizontal="center"/>
      <protection/>
    </xf>
    <xf numFmtId="49" fontId="19" fillId="0" borderId="24" xfId="96" applyNumberFormat="1" applyFont="1" applyBorder="1" applyAlignment="1">
      <alignment horizontal="center" wrapText="1"/>
      <protection/>
    </xf>
    <xf numFmtId="49" fontId="0" fillId="0" borderId="27" xfId="96" applyNumberFormat="1" applyFont="1" applyBorder="1" applyAlignment="1">
      <alignment horizontal="center" vertical="top" wrapText="1"/>
      <protection/>
    </xf>
    <xf numFmtId="49" fontId="0" fillId="0" borderId="27" xfId="96" applyNumberFormat="1" applyFont="1" applyBorder="1" applyAlignment="1">
      <alignment vertical="top" wrapText="1"/>
      <protection/>
    </xf>
    <xf numFmtId="0" fontId="42" fillId="0" borderId="24" xfId="0" applyFont="1" applyBorder="1" applyAlignment="1">
      <alignment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_032-6-РД от15122017 бюджет 2018" xfId="90"/>
    <cellStyle name="Обычный 3" xfId="91"/>
    <cellStyle name="Обычный 3_20190614 124-6-РД уточ бюд июнь (приложения)" xfId="92"/>
    <cellStyle name="Обычный 3_уточ бюд декабрь (приложения) измен.0709" xfId="93"/>
    <cellStyle name="Обычный 3_уточнение март2019 (приложения)" xfId="94"/>
    <cellStyle name="Обычный 4" xfId="95"/>
    <cellStyle name="Обычный_198-4-РД от15122010 о бюджете 2011 прил (опубл в РайВестн №101 от17122010)_273-4-РД от16112011 о бюджете на 2012г прил (опубл №103 от23122011)" xfId="96"/>
    <cellStyle name="Обычный_198-4-РД от15122010 о бюджете 2011 прил (опубл в РайВестн №101 от17122010)_273-4-РД от16112011 о бюджете на 2012г прил (опубл №103 от23122011) 2" xfId="97"/>
    <cellStyle name="Обычный_273-4-РД от16112011 о бюджете на 2012г прил (опубл №103 от23122011)" xfId="98"/>
    <cellStyle name="Обычный_прил5 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311842/#dst100015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C74"/>
  <sheetViews>
    <sheetView showGridLines="0" zoomScaleSheetLayoutView="100" workbookViewId="0" topLeftCell="A1">
      <selection activeCell="C3" sqref="C3"/>
    </sheetView>
  </sheetViews>
  <sheetFormatPr defaultColWidth="9.140625" defaultRowHeight="12.75"/>
  <cols>
    <col min="1" max="1" width="6.8515625" style="0" customWidth="1"/>
    <col min="2" max="2" width="21.140625" style="0" customWidth="1"/>
    <col min="3" max="3" width="58.8515625" style="0" customWidth="1"/>
  </cols>
  <sheetData>
    <row r="1" spans="2:3" ht="12.75">
      <c r="B1" s="13"/>
      <c r="C1" s="13" t="s">
        <v>117</v>
      </c>
    </row>
    <row r="2" spans="2:3" ht="12.75">
      <c r="B2" s="13"/>
      <c r="C2" s="13" t="s">
        <v>519</v>
      </c>
    </row>
    <row r="3" spans="2:3" ht="12.75">
      <c r="B3" s="13"/>
      <c r="C3" s="68" t="s">
        <v>483</v>
      </c>
    </row>
    <row r="4" spans="1:3" ht="12.75">
      <c r="A4" s="69" t="s">
        <v>118</v>
      </c>
      <c r="B4" s="69"/>
      <c r="C4" s="69"/>
    </row>
    <row r="5" spans="1:3" ht="12.75">
      <c r="A5" s="70"/>
      <c r="B5" s="44"/>
      <c r="C5" s="13" t="s">
        <v>119</v>
      </c>
    </row>
    <row r="6" spans="1:3" ht="22.5">
      <c r="A6" s="71" t="s">
        <v>230</v>
      </c>
      <c r="B6" s="71"/>
      <c r="C6" s="637" t="s">
        <v>120</v>
      </c>
    </row>
    <row r="7" spans="1:3" ht="45">
      <c r="A7" s="72" t="s">
        <v>121</v>
      </c>
      <c r="B7" s="73" t="s">
        <v>122</v>
      </c>
      <c r="C7" s="638"/>
    </row>
    <row r="8" spans="1:3" ht="12.75">
      <c r="A8" s="73" t="s">
        <v>598</v>
      </c>
      <c r="B8" s="73" t="s">
        <v>97</v>
      </c>
      <c r="C8" s="73" t="s">
        <v>599</v>
      </c>
    </row>
    <row r="9" spans="1:3" ht="12.75">
      <c r="A9" s="74" t="s">
        <v>742</v>
      </c>
      <c r="B9" s="74"/>
      <c r="C9" s="75" t="s">
        <v>659</v>
      </c>
    </row>
    <row r="10" spans="1:3" ht="25.5">
      <c r="A10" s="14" t="s">
        <v>742</v>
      </c>
      <c r="B10" s="14" t="s">
        <v>305</v>
      </c>
      <c r="C10" s="60" t="s">
        <v>306</v>
      </c>
    </row>
    <row r="11" spans="1:3" ht="63.75">
      <c r="A11" s="14" t="s">
        <v>742</v>
      </c>
      <c r="B11" s="14" t="s">
        <v>744</v>
      </c>
      <c r="C11" s="60" t="s">
        <v>576</v>
      </c>
    </row>
    <row r="12" spans="1:3" ht="63.75">
      <c r="A12" s="14" t="s">
        <v>742</v>
      </c>
      <c r="B12" s="14" t="s">
        <v>123</v>
      </c>
      <c r="C12" s="60" t="s">
        <v>85</v>
      </c>
    </row>
    <row r="13" spans="1:3" ht="63.75">
      <c r="A13" s="14" t="s">
        <v>742</v>
      </c>
      <c r="B13" s="14" t="s">
        <v>86</v>
      </c>
      <c r="C13" s="60" t="s">
        <v>87</v>
      </c>
    </row>
    <row r="14" spans="1:3" ht="25.5">
      <c r="A14" s="14" t="s">
        <v>742</v>
      </c>
      <c r="B14" s="14" t="s">
        <v>748</v>
      </c>
      <c r="C14" s="60" t="s">
        <v>318</v>
      </c>
    </row>
    <row r="15" spans="1:3" ht="38.25">
      <c r="A15" s="14" t="s">
        <v>742</v>
      </c>
      <c r="B15" s="14" t="s">
        <v>88</v>
      </c>
      <c r="C15" s="60" t="s">
        <v>923</v>
      </c>
    </row>
    <row r="16" spans="1:3" ht="63.75">
      <c r="A16" s="14" t="s">
        <v>742</v>
      </c>
      <c r="B16" s="14" t="s">
        <v>775</v>
      </c>
      <c r="C16" s="60" t="s">
        <v>924</v>
      </c>
    </row>
    <row r="17" spans="1:3" ht="38.25">
      <c r="A17" s="14" t="s">
        <v>742</v>
      </c>
      <c r="B17" s="14" t="s">
        <v>925</v>
      </c>
      <c r="C17" s="60" t="s">
        <v>926</v>
      </c>
    </row>
    <row r="18" spans="1:3" ht="25.5">
      <c r="A18" s="14" t="s">
        <v>742</v>
      </c>
      <c r="B18" s="14" t="s">
        <v>791</v>
      </c>
      <c r="C18" s="60" t="s">
        <v>927</v>
      </c>
    </row>
    <row r="19" spans="1:3" ht="25.5">
      <c r="A19" s="14" t="s">
        <v>742</v>
      </c>
      <c r="B19" s="14" t="s">
        <v>928</v>
      </c>
      <c r="C19" s="60" t="s">
        <v>929</v>
      </c>
    </row>
    <row r="20" spans="1:3" ht="66.75" customHeight="1">
      <c r="A20" s="14" t="s">
        <v>742</v>
      </c>
      <c r="B20" s="14" t="s">
        <v>39</v>
      </c>
      <c r="C20" s="60" t="s">
        <v>577</v>
      </c>
    </row>
    <row r="21" spans="1:3" ht="67.5" customHeight="1">
      <c r="A21" s="14" t="s">
        <v>742</v>
      </c>
      <c r="B21" s="14" t="s">
        <v>40</v>
      </c>
      <c r="C21" s="60" t="s">
        <v>578</v>
      </c>
    </row>
    <row r="22" spans="1:3" ht="76.5">
      <c r="A22" s="14" t="s">
        <v>742</v>
      </c>
      <c r="B22" s="14" t="s">
        <v>794</v>
      </c>
      <c r="C22" s="60" t="s">
        <v>579</v>
      </c>
    </row>
    <row r="23" spans="1:3" ht="76.5">
      <c r="A23" s="14" t="s">
        <v>742</v>
      </c>
      <c r="B23" s="14" t="s">
        <v>41</v>
      </c>
      <c r="C23" s="60" t="s">
        <v>580</v>
      </c>
    </row>
    <row r="24" spans="1:3" ht="38.25">
      <c r="A24" s="14" t="s">
        <v>742</v>
      </c>
      <c r="B24" s="14" t="s">
        <v>799</v>
      </c>
      <c r="C24" s="60" t="s">
        <v>715</v>
      </c>
    </row>
    <row r="25" spans="1:3" ht="38.25">
      <c r="A25" s="14" t="s">
        <v>742</v>
      </c>
      <c r="B25" s="14" t="s">
        <v>42</v>
      </c>
      <c r="C25" s="60" t="s">
        <v>43</v>
      </c>
    </row>
    <row r="26" spans="1:3" ht="38.25">
      <c r="A26" s="14" t="s">
        <v>742</v>
      </c>
      <c r="B26" s="14" t="s">
        <v>7</v>
      </c>
      <c r="C26" s="60" t="s">
        <v>897</v>
      </c>
    </row>
    <row r="27" spans="1:3" ht="25.5">
      <c r="A27" s="14" t="s">
        <v>742</v>
      </c>
      <c r="B27" s="14" t="s">
        <v>44</v>
      </c>
      <c r="C27" s="60" t="s">
        <v>45</v>
      </c>
    </row>
    <row r="28" spans="1:3" ht="12.75">
      <c r="A28" s="14" t="s">
        <v>742</v>
      </c>
      <c r="B28" s="14" t="s">
        <v>274</v>
      </c>
      <c r="C28" s="60" t="s">
        <v>46</v>
      </c>
    </row>
    <row r="29" spans="1:3" ht="25.5">
      <c r="A29" s="14" t="s">
        <v>742</v>
      </c>
      <c r="B29" s="14" t="s">
        <v>275</v>
      </c>
      <c r="C29" s="194" t="s">
        <v>30</v>
      </c>
    </row>
    <row r="30" spans="1:3" ht="12.75">
      <c r="A30" s="14" t="s">
        <v>742</v>
      </c>
      <c r="B30" s="14" t="s">
        <v>723</v>
      </c>
      <c r="C30" s="195" t="s">
        <v>724</v>
      </c>
    </row>
    <row r="31" spans="1:3" ht="36">
      <c r="A31" s="14" t="s">
        <v>742</v>
      </c>
      <c r="B31" s="14" t="s">
        <v>725</v>
      </c>
      <c r="C31" s="193" t="s">
        <v>685</v>
      </c>
    </row>
    <row r="32" spans="1:3" ht="24">
      <c r="A32" s="14" t="s">
        <v>742</v>
      </c>
      <c r="B32" s="14" t="s">
        <v>726</v>
      </c>
      <c r="C32" s="193" t="s">
        <v>686</v>
      </c>
    </row>
    <row r="33" spans="1:3" ht="25.5">
      <c r="A33" s="76" t="s">
        <v>660</v>
      </c>
      <c r="B33" s="76"/>
      <c r="C33" s="75" t="s">
        <v>616</v>
      </c>
    </row>
    <row r="34" spans="1:3" ht="25.5">
      <c r="A34" s="14" t="s">
        <v>660</v>
      </c>
      <c r="B34" s="14" t="s">
        <v>617</v>
      </c>
      <c r="C34" s="60" t="s">
        <v>618</v>
      </c>
    </row>
    <row r="35" spans="1:3" ht="38.25">
      <c r="A35" s="14" t="s">
        <v>660</v>
      </c>
      <c r="B35" s="14" t="s">
        <v>771</v>
      </c>
      <c r="C35" s="60" t="s">
        <v>772</v>
      </c>
    </row>
    <row r="36" spans="1:3" ht="25.5">
      <c r="A36" s="14" t="s">
        <v>660</v>
      </c>
      <c r="B36" s="14" t="s">
        <v>928</v>
      </c>
      <c r="C36" s="60" t="s">
        <v>929</v>
      </c>
    </row>
    <row r="37" spans="1:3" ht="25.5">
      <c r="A37" s="14" t="s">
        <v>660</v>
      </c>
      <c r="B37" s="14" t="s">
        <v>619</v>
      </c>
      <c r="C37" s="60" t="s">
        <v>620</v>
      </c>
    </row>
    <row r="38" spans="1:3" ht="25.5">
      <c r="A38" s="14" t="s">
        <v>621</v>
      </c>
      <c r="B38" s="14" t="s">
        <v>44</v>
      </c>
      <c r="C38" s="60" t="s">
        <v>45</v>
      </c>
    </row>
    <row r="39" spans="1:3" ht="12.75">
      <c r="A39" s="14" t="s">
        <v>660</v>
      </c>
      <c r="B39" s="14" t="s">
        <v>274</v>
      </c>
      <c r="C39" s="60" t="s">
        <v>46</v>
      </c>
    </row>
    <row r="40" spans="1:3" ht="25.5">
      <c r="A40" s="14" t="s">
        <v>660</v>
      </c>
      <c r="B40" s="14" t="s">
        <v>275</v>
      </c>
      <c r="C40" s="194" t="s">
        <v>30</v>
      </c>
    </row>
    <row r="41" spans="1:3" ht="12.75">
      <c r="A41" s="14" t="s">
        <v>660</v>
      </c>
      <c r="B41" s="14" t="s">
        <v>723</v>
      </c>
      <c r="C41" s="195" t="s">
        <v>724</v>
      </c>
    </row>
    <row r="42" spans="1:3" ht="61.5" customHeight="1">
      <c r="A42" s="14" t="s">
        <v>660</v>
      </c>
      <c r="B42" s="14" t="s">
        <v>687</v>
      </c>
      <c r="C42" s="193" t="s">
        <v>688</v>
      </c>
    </row>
    <row r="43" spans="1:3" ht="36">
      <c r="A43" s="14" t="s">
        <v>660</v>
      </c>
      <c r="B43" s="14" t="s">
        <v>725</v>
      </c>
      <c r="C43" s="193" t="s">
        <v>685</v>
      </c>
    </row>
    <row r="44" spans="1:3" ht="24">
      <c r="A44" s="14" t="s">
        <v>660</v>
      </c>
      <c r="B44" s="14" t="s">
        <v>726</v>
      </c>
      <c r="C44" s="193" t="s">
        <v>686</v>
      </c>
    </row>
    <row r="45" spans="1:3" ht="12.75">
      <c r="A45" s="14" t="s">
        <v>157</v>
      </c>
      <c r="B45" s="14"/>
      <c r="C45" s="77" t="s">
        <v>158</v>
      </c>
    </row>
    <row r="46" spans="1:3" ht="51">
      <c r="A46" s="78" t="s">
        <v>654</v>
      </c>
      <c r="B46" s="14"/>
      <c r="C46" s="79" t="s">
        <v>727</v>
      </c>
    </row>
    <row r="47" spans="1:3" ht="76.5">
      <c r="A47" s="14" t="s">
        <v>654</v>
      </c>
      <c r="B47" s="14" t="s">
        <v>728</v>
      </c>
      <c r="C47" s="60" t="s">
        <v>291</v>
      </c>
    </row>
    <row r="48" spans="1:3" ht="38.25">
      <c r="A48" s="14" t="s">
        <v>654</v>
      </c>
      <c r="B48" s="14" t="s">
        <v>729</v>
      </c>
      <c r="C48" s="60" t="s">
        <v>730</v>
      </c>
    </row>
    <row r="49" spans="1:3" ht="38.25">
      <c r="A49" s="14" t="s">
        <v>654</v>
      </c>
      <c r="B49" s="14" t="s">
        <v>731</v>
      </c>
      <c r="C49" s="60" t="s">
        <v>732</v>
      </c>
    </row>
    <row r="50" spans="1:3" ht="89.25">
      <c r="A50" s="14" t="s">
        <v>654</v>
      </c>
      <c r="B50" s="14" t="s">
        <v>452</v>
      </c>
      <c r="C50" s="167" t="s">
        <v>451</v>
      </c>
    </row>
    <row r="51" spans="1:3" ht="76.5">
      <c r="A51" s="14" t="s">
        <v>654</v>
      </c>
      <c r="B51" s="14" t="s">
        <v>916</v>
      </c>
      <c r="C51" s="167" t="s">
        <v>915</v>
      </c>
    </row>
    <row r="52" spans="1:3" ht="63.75">
      <c r="A52" s="14" t="s">
        <v>654</v>
      </c>
      <c r="B52" s="14" t="s">
        <v>733</v>
      </c>
      <c r="C52" s="60" t="s">
        <v>292</v>
      </c>
    </row>
    <row r="53" spans="1:3" ht="25.5">
      <c r="A53" s="14" t="s">
        <v>654</v>
      </c>
      <c r="B53" s="14" t="s">
        <v>918</v>
      </c>
      <c r="C53" s="60" t="s">
        <v>917</v>
      </c>
    </row>
    <row r="54" spans="1:3" ht="38.25">
      <c r="A54" s="14" t="s">
        <v>654</v>
      </c>
      <c r="B54" s="14" t="s">
        <v>734</v>
      </c>
      <c r="C54" s="60" t="s">
        <v>735</v>
      </c>
    </row>
    <row r="55" spans="1:3" ht="25.5">
      <c r="A55" s="14" t="s">
        <v>654</v>
      </c>
      <c r="B55" s="14" t="s">
        <v>791</v>
      </c>
      <c r="C55" s="60" t="s">
        <v>927</v>
      </c>
    </row>
    <row r="56" spans="1:3" ht="25.5">
      <c r="A56" s="14" t="s">
        <v>654</v>
      </c>
      <c r="B56" s="14" t="s">
        <v>928</v>
      </c>
      <c r="C56" s="60" t="s">
        <v>929</v>
      </c>
    </row>
    <row r="57" spans="1:3" ht="25.5">
      <c r="A57" s="14" t="s">
        <v>654</v>
      </c>
      <c r="B57" s="14" t="s">
        <v>736</v>
      </c>
      <c r="C57" s="60" t="s">
        <v>737</v>
      </c>
    </row>
    <row r="58" spans="1:3" ht="38.25">
      <c r="A58" s="14" t="s">
        <v>654</v>
      </c>
      <c r="B58" s="14" t="s">
        <v>920</v>
      </c>
      <c r="C58" s="60" t="s">
        <v>919</v>
      </c>
    </row>
    <row r="59" spans="1:3" ht="38.25">
      <c r="A59" s="14" t="s">
        <v>654</v>
      </c>
      <c r="B59" s="14" t="s">
        <v>738</v>
      </c>
      <c r="C59" s="80" t="s">
        <v>739</v>
      </c>
    </row>
    <row r="60" spans="1:3" ht="51">
      <c r="A60" s="14" t="s">
        <v>654</v>
      </c>
      <c r="B60" s="14" t="s">
        <v>740</v>
      </c>
      <c r="C60" s="60" t="s">
        <v>603</v>
      </c>
    </row>
    <row r="61" spans="1:3" ht="25.5">
      <c r="A61" s="14" t="s">
        <v>654</v>
      </c>
      <c r="B61" s="14" t="s">
        <v>604</v>
      </c>
      <c r="C61" s="60" t="s">
        <v>605</v>
      </c>
    </row>
    <row r="62" spans="1:3" ht="38.25">
      <c r="A62" s="14" t="s">
        <v>654</v>
      </c>
      <c r="B62" s="14" t="s">
        <v>922</v>
      </c>
      <c r="C62" s="60" t="s">
        <v>921</v>
      </c>
    </row>
    <row r="63" spans="1:3" ht="76.5">
      <c r="A63" s="14" t="s">
        <v>654</v>
      </c>
      <c r="B63" s="14" t="s">
        <v>62</v>
      </c>
      <c r="C63" s="167" t="s">
        <v>61</v>
      </c>
    </row>
    <row r="64" spans="1:3" ht="38.25">
      <c r="A64" s="14" t="s">
        <v>654</v>
      </c>
      <c r="B64" s="14" t="s">
        <v>606</v>
      </c>
      <c r="C64" s="60" t="s">
        <v>655</v>
      </c>
    </row>
    <row r="65" spans="1:3" ht="53.25" customHeight="1">
      <c r="A65" s="14" t="s">
        <v>654</v>
      </c>
      <c r="B65" s="14" t="s">
        <v>656</v>
      </c>
      <c r="C65" s="60" t="s">
        <v>127</v>
      </c>
    </row>
    <row r="66" spans="1:3" ht="42.75" customHeight="1">
      <c r="A66" s="14" t="s">
        <v>654</v>
      </c>
      <c r="B66" s="14" t="s">
        <v>128</v>
      </c>
      <c r="C66" s="60" t="s">
        <v>129</v>
      </c>
    </row>
    <row r="67" spans="1:3" ht="51">
      <c r="A67" s="14" t="s">
        <v>654</v>
      </c>
      <c r="B67" s="14" t="s">
        <v>130</v>
      </c>
      <c r="C67" s="60" t="s">
        <v>144</v>
      </c>
    </row>
    <row r="68" spans="1:3" ht="76.5">
      <c r="A68" s="14" t="s">
        <v>654</v>
      </c>
      <c r="B68" s="14" t="s">
        <v>145</v>
      </c>
      <c r="C68" s="60" t="s">
        <v>375</v>
      </c>
    </row>
    <row r="69" spans="1:3" ht="38.25">
      <c r="A69" s="14" t="s">
        <v>654</v>
      </c>
      <c r="B69" s="14" t="s">
        <v>7</v>
      </c>
      <c r="C69" s="60" t="s">
        <v>897</v>
      </c>
    </row>
    <row r="70" spans="1:3" ht="51">
      <c r="A70" s="14" t="s">
        <v>654</v>
      </c>
      <c r="B70" s="14" t="s">
        <v>146</v>
      </c>
      <c r="C70" s="60" t="s">
        <v>147</v>
      </c>
    </row>
    <row r="71" spans="1:3" ht="13.5" thickBot="1">
      <c r="A71" s="14" t="s">
        <v>654</v>
      </c>
      <c r="B71" s="14" t="s">
        <v>148</v>
      </c>
      <c r="C71" s="60" t="s">
        <v>149</v>
      </c>
    </row>
    <row r="72" spans="1:3" ht="15" thickBot="1">
      <c r="A72" s="14" t="s">
        <v>654</v>
      </c>
      <c r="B72" s="81" t="s">
        <v>274</v>
      </c>
      <c r="C72" s="82" t="s">
        <v>150</v>
      </c>
    </row>
    <row r="73" spans="1:3" ht="62.25">
      <c r="A73" s="83" t="s">
        <v>376</v>
      </c>
      <c r="B73" s="69"/>
      <c r="C73" s="69"/>
    </row>
    <row r="74" spans="1:3" ht="48.75">
      <c r="A74" s="54" t="s">
        <v>377</v>
      </c>
      <c r="B74" s="69"/>
      <c r="C74" s="69"/>
    </row>
  </sheetData>
  <sheetProtection/>
  <mergeCells count="1">
    <mergeCell ref="C6:C7"/>
  </mergeCells>
  <printOptions/>
  <pageMargins left="0.984251968503937" right="0.3937007874015748" top="0.5905511811023623" bottom="0.3937007874015748" header="0.5118110236220472" footer="0.275590551181102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E27"/>
  <sheetViews>
    <sheetView showGridLines="0" zoomScaleSheetLayoutView="100" workbookViewId="0" topLeftCell="A1">
      <selection activeCell="D3" sqref="D3"/>
    </sheetView>
  </sheetViews>
  <sheetFormatPr defaultColWidth="9.140625" defaultRowHeight="12.75"/>
  <cols>
    <col min="1" max="1" width="22.140625" style="3" customWidth="1"/>
    <col min="2" max="2" width="51.57421875" style="3" customWidth="1"/>
    <col min="3" max="3" width="12.57421875" style="3" customWidth="1"/>
    <col min="4" max="4" width="13.28125" style="3" customWidth="1"/>
    <col min="5" max="16384" width="9.140625" style="3" customWidth="1"/>
  </cols>
  <sheetData>
    <row r="1" spans="2:4" ht="12.75">
      <c r="B1" s="21"/>
      <c r="D1" s="21" t="s">
        <v>324</v>
      </c>
    </row>
    <row r="2" spans="2:4" ht="12.75">
      <c r="B2" s="21"/>
      <c r="D2" s="13" t="s">
        <v>519</v>
      </c>
    </row>
    <row r="3" spans="2:4" ht="12.75">
      <c r="B3" s="12"/>
      <c r="D3" s="68" t="s">
        <v>351</v>
      </c>
    </row>
    <row r="4" spans="1:3" ht="12.75">
      <c r="A4" s="644" t="s">
        <v>259</v>
      </c>
      <c r="B4" s="644"/>
      <c r="C4" s="644"/>
    </row>
    <row r="5" spans="1:4" ht="12.75">
      <c r="A5" s="4"/>
      <c r="C5" s="5"/>
      <c r="D5" s="5" t="s">
        <v>16</v>
      </c>
    </row>
    <row r="6" spans="1:4" ht="33.75">
      <c r="A6" s="6" t="s">
        <v>230</v>
      </c>
      <c r="B6" s="6" t="s">
        <v>614</v>
      </c>
      <c r="C6" s="6" t="s">
        <v>174</v>
      </c>
      <c r="D6" s="6" t="s">
        <v>175</v>
      </c>
    </row>
    <row r="7" spans="1:4" ht="12.75">
      <c r="A7" s="6">
        <v>1</v>
      </c>
      <c r="B7" s="6">
        <v>2</v>
      </c>
      <c r="C7" s="6">
        <v>3</v>
      </c>
      <c r="D7" s="6">
        <v>4</v>
      </c>
    </row>
    <row r="8" spans="1:5" ht="25.5">
      <c r="A8" s="7" t="s">
        <v>555</v>
      </c>
      <c r="B8" s="8" t="s">
        <v>223</v>
      </c>
      <c r="C8" s="84">
        <f>C9+C12</f>
        <v>0</v>
      </c>
      <c r="D8" s="84">
        <f>D9+D12</f>
        <v>0</v>
      </c>
      <c r="E8" s="17"/>
    </row>
    <row r="9" spans="1:5" ht="25.5" hidden="1">
      <c r="A9" s="7" t="s">
        <v>556</v>
      </c>
      <c r="B9" s="2" t="s">
        <v>557</v>
      </c>
      <c r="C9" s="85">
        <f>C10</f>
        <v>0</v>
      </c>
      <c r="D9" s="85">
        <f>D10</f>
        <v>0</v>
      </c>
      <c r="E9" s="17"/>
    </row>
    <row r="10" spans="1:5" ht="25.5" hidden="1">
      <c r="A10" s="7" t="s">
        <v>558</v>
      </c>
      <c r="B10" s="2" t="s">
        <v>559</v>
      </c>
      <c r="C10" s="85">
        <f>C11</f>
        <v>0</v>
      </c>
      <c r="D10" s="85">
        <f>D11</f>
        <v>0</v>
      </c>
      <c r="E10" s="17"/>
    </row>
    <row r="11" spans="1:5" ht="38.25" hidden="1">
      <c r="A11" s="7" t="s">
        <v>224</v>
      </c>
      <c r="B11" s="2" t="s">
        <v>769</v>
      </c>
      <c r="C11" s="86"/>
      <c r="D11" s="86"/>
      <c r="E11" s="17"/>
    </row>
    <row r="12" spans="1:5" ht="25.5">
      <c r="A12" s="7" t="s">
        <v>226</v>
      </c>
      <c r="B12" s="2" t="s">
        <v>225</v>
      </c>
      <c r="C12" s="85">
        <f>C13+C15</f>
        <v>0</v>
      </c>
      <c r="D12" s="85">
        <f>D13+D15</f>
        <v>0</v>
      </c>
      <c r="E12" s="17"/>
    </row>
    <row r="13" spans="1:5" ht="38.25">
      <c r="A13" s="18" t="s">
        <v>187</v>
      </c>
      <c r="B13" s="19" t="s">
        <v>431</v>
      </c>
      <c r="C13" s="85">
        <f>C14</f>
        <v>29120000</v>
      </c>
      <c r="D13" s="85">
        <f>D14</f>
        <v>10577000</v>
      </c>
      <c r="E13" s="17"/>
    </row>
    <row r="14" spans="1:5" ht="38.25">
      <c r="A14" s="18" t="s">
        <v>188</v>
      </c>
      <c r="B14" s="19" t="s">
        <v>432</v>
      </c>
      <c r="C14" s="86">
        <v>29120000</v>
      </c>
      <c r="D14" s="86">
        <v>10577000</v>
      </c>
      <c r="E14" s="17"/>
    </row>
    <row r="15" spans="1:5" ht="38.25">
      <c r="A15" s="7" t="s">
        <v>189</v>
      </c>
      <c r="B15" s="2" t="s">
        <v>221</v>
      </c>
      <c r="C15" s="85">
        <f>C16</f>
        <v>-29120000</v>
      </c>
      <c r="D15" s="85">
        <f>D16</f>
        <v>-10577000</v>
      </c>
      <c r="E15" s="17"/>
    </row>
    <row r="16" spans="1:5" ht="38.25">
      <c r="A16" s="7" t="s">
        <v>190</v>
      </c>
      <c r="B16" s="2" t="s">
        <v>222</v>
      </c>
      <c r="C16" s="87">
        <v>-29120000</v>
      </c>
      <c r="D16" s="87">
        <v>-10577000</v>
      </c>
      <c r="E16" s="17"/>
    </row>
    <row r="17" spans="1:5" ht="25.5">
      <c r="A17" s="7" t="s">
        <v>421</v>
      </c>
      <c r="B17" s="9" t="s">
        <v>13</v>
      </c>
      <c r="C17" s="88">
        <f>C18+C22</f>
        <v>0</v>
      </c>
      <c r="D17" s="88">
        <f>D18+D22</f>
        <v>0</v>
      </c>
      <c r="E17" s="17"/>
    </row>
    <row r="18" spans="1:5" ht="12.75">
      <c r="A18" s="7" t="s">
        <v>422</v>
      </c>
      <c r="B18" s="9" t="s">
        <v>423</v>
      </c>
      <c r="C18" s="88">
        <f aca="true" t="shared" si="0" ref="C18:D20">C19</f>
        <v>-273625984</v>
      </c>
      <c r="D18" s="88">
        <f t="shared" si="0"/>
        <v>-251986166</v>
      </c>
      <c r="E18" s="17"/>
    </row>
    <row r="19" spans="1:5" ht="12.75">
      <c r="A19" s="7" t="s">
        <v>424</v>
      </c>
      <c r="B19" s="9" t="s">
        <v>425</v>
      </c>
      <c r="C19" s="88">
        <f t="shared" si="0"/>
        <v>-273625984</v>
      </c>
      <c r="D19" s="88">
        <f t="shared" si="0"/>
        <v>-251986166</v>
      </c>
      <c r="E19" s="17"/>
    </row>
    <row r="20" spans="1:5" ht="25.5">
      <c r="A20" s="7" t="s">
        <v>14</v>
      </c>
      <c r="B20" s="9" t="s">
        <v>426</v>
      </c>
      <c r="C20" s="88">
        <f t="shared" si="0"/>
        <v>-273625984</v>
      </c>
      <c r="D20" s="88">
        <f t="shared" si="0"/>
        <v>-251986166</v>
      </c>
      <c r="E20" s="17"/>
    </row>
    <row r="21" spans="1:5" ht="25.5">
      <c r="A21" s="7" t="s">
        <v>427</v>
      </c>
      <c r="B21" s="9" t="s">
        <v>428</v>
      </c>
      <c r="C21" s="89">
        <v>-273625984</v>
      </c>
      <c r="D21" s="89">
        <v>-251986166</v>
      </c>
      <c r="E21" s="17"/>
    </row>
    <row r="22" spans="1:5" ht="12.75">
      <c r="A22" s="7" t="s">
        <v>405</v>
      </c>
      <c r="B22" s="9" t="s">
        <v>15</v>
      </c>
      <c r="C22" s="88">
        <f aca="true" t="shared" si="1" ref="C22:D24">C23</f>
        <v>273625984</v>
      </c>
      <c r="D22" s="88">
        <f t="shared" si="1"/>
        <v>251986166</v>
      </c>
      <c r="E22" s="17"/>
    </row>
    <row r="23" spans="1:5" ht="12.75">
      <c r="A23" s="7" t="s">
        <v>406</v>
      </c>
      <c r="B23" s="9" t="s">
        <v>761</v>
      </c>
      <c r="C23" s="88">
        <f t="shared" si="1"/>
        <v>273625984</v>
      </c>
      <c r="D23" s="88">
        <f t="shared" si="1"/>
        <v>251986166</v>
      </c>
      <c r="E23" s="17"/>
    </row>
    <row r="24" spans="1:5" ht="25.5">
      <c r="A24" s="7" t="s">
        <v>762</v>
      </c>
      <c r="B24" s="9" t="s">
        <v>763</v>
      </c>
      <c r="C24" s="88">
        <f t="shared" si="1"/>
        <v>273625984</v>
      </c>
      <c r="D24" s="88">
        <f t="shared" si="1"/>
        <v>251986166</v>
      </c>
      <c r="E24" s="17"/>
    </row>
    <row r="25" spans="1:5" ht="25.5">
      <c r="A25" s="7" t="s">
        <v>764</v>
      </c>
      <c r="B25" s="9" t="s">
        <v>765</v>
      </c>
      <c r="C25" s="89">
        <v>273625984</v>
      </c>
      <c r="D25" s="89">
        <v>251986166</v>
      </c>
      <c r="E25" s="17"/>
    </row>
    <row r="26" spans="1:5" ht="12.75">
      <c r="A26" s="10"/>
      <c r="B26" s="11" t="s">
        <v>766</v>
      </c>
      <c r="C26" s="90">
        <f>C8+C17</f>
        <v>0</v>
      </c>
      <c r="D26" s="90">
        <f>D8+D17</f>
        <v>0</v>
      </c>
      <c r="E26" s="17"/>
    </row>
    <row r="27" ht="12.75">
      <c r="C27" s="20"/>
    </row>
  </sheetData>
  <sheetProtection/>
  <mergeCells count="1">
    <mergeCell ref="A4:C4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G299"/>
  <sheetViews>
    <sheetView showGridLines="0" zoomScaleSheetLayoutView="100" workbookViewId="0" topLeftCell="A1">
      <selection activeCell="A266" sqref="A266"/>
    </sheetView>
  </sheetViews>
  <sheetFormatPr defaultColWidth="9.140625" defaultRowHeight="12.75"/>
  <cols>
    <col min="1" max="1" width="61.28125" style="211" customWidth="1"/>
    <col min="2" max="2" width="13.421875" style="211" bestFit="1" customWidth="1"/>
    <col min="3" max="3" width="4.57421875" style="211" customWidth="1"/>
    <col min="4" max="4" width="14.00390625" style="211" customWidth="1"/>
    <col min="5" max="5" width="12.7109375" style="324" customWidth="1"/>
    <col min="6" max="6" width="11.421875" style="325" customWidth="1"/>
    <col min="7" max="7" width="9.140625" style="324" customWidth="1"/>
    <col min="8" max="16384" width="9.140625" style="211" customWidth="1"/>
  </cols>
  <sheetData>
    <row r="1" spans="1:4" ht="12.75">
      <c r="A1" s="207"/>
      <c r="B1" s="305"/>
      <c r="C1" s="305"/>
      <c r="D1" s="323" t="s">
        <v>841</v>
      </c>
    </row>
    <row r="2" spans="1:4" ht="12.75">
      <c r="A2" s="207"/>
      <c r="B2" s="305"/>
      <c r="C2" s="305"/>
      <c r="D2" s="129" t="s">
        <v>519</v>
      </c>
    </row>
    <row r="3" spans="1:4" ht="12.75">
      <c r="A3" s="207"/>
      <c r="B3" s="305"/>
      <c r="C3" s="305"/>
      <c r="D3" s="68" t="s">
        <v>215</v>
      </c>
    </row>
    <row r="4" spans="1:4" ht="12.75">
      <c r="A4" s="212"/>
      <c r="B4" s="305"/>
      <c r="C4" s="305"/>
      <c r="D4" s="326"/>
    </row>
    <row r="5" spans="1:4" ht="38.25">
      <c r="A5" s="215" t="s">
        <v>411</v>
      </c>
      <c r="B5" s="215"/>
      <c r="C5" s="215"/>
      <c r="D5" s="215"/>
    </row>
    <row r="6" spans="1:4" ht="12.75">
      <c r="A6" s="218"/>
      <c r="B6" s="218"/>
      <c r="C6" s="218"/>
      <c r="D6" s="218" t="s">
        <v>100</v>
      </c>
    </row>
    <row r="7" spans="1:4" ht="12.75">
      <c r="A7" s="306" t="s">
        <v>96</v>
      </c>
      <c r="B7" s="306" t="s">
        <v>543</v>
      </c>
      <c r="C7" s="306" t="s">
        <v>544</v>
      </c>
      <c r="D7" s="306" t="s">
        <v>615</v>
      </c>
    </row>
    <row r="8" spans="1:6" ht="12.75">
      <c r="A8" s="327" t="s">
        <v>598</v>
      </c>
      <c r="B8" s="327">
        <v>2</v>
      </c>
      <c r="C8" s="327">
        <v>3</v>
      </c>
      <c r="D8" s="327">
        <v>4</v>
      </c>
      <c r="E8" s="226"/>
      <c r="F8" s="226"/>
    </row>
    <row r="9" spans="1:7" ht="12.75">
      <c r="A9" s="311" t="s">
        <v>101</v>
      </c>
      <c r="B9" s="312" t="s">
        <v>99</v>
      </c>
      <c r="C9" s="312" t="s">
        <v>99</v>
      </c>
      <c r="D9" s="313">
        <f>D10+D27+D66+D121+D128+D148+D166+D184+D195+D206+D216+D225+D229+D234+D238+D247+D255+D261+D281</f>
        <v>367369518.37</v>
      </c>
      <c r="E9" s="211"/>
      <c r="F9" s="231"/>
      <c r="G9" s="328"/>
    </row>
    <row r="10" spans="1:6" ht="25.5">
      <c r="A10" s="329" t="s">
        <v>821</v>
      </c>
      <c r="B10" s="330" t="s">
        <v>647</v>
      </c>
      <c r="C10" s="331" t="s">
        <v>99</v>
      </c>
      <c r="D10" s="286">
        <f>D11+D17</f>
        <v>27794150</v>
      </c>
      <c r="E10" s="211"/>
      <c r="F10" s="231"/>
    </row>
    <row r="11" spans="1:6" ht="25.5">
      <c r="A11" s="253" t="s">
        <v>21</v>
      </c>
      <c r="B11" s="250" t="s">
        <v>648</v>
      </c>
      <c r="C11" s="245" t="s">
        <v>99</v>
      </c>
      <c r="D11" s="243">
        <f>D12</f>
        <v>4287683</v>
      </c>
      <c r="F11" s="231"/>
    </row>
    <row r="12" spans="1:6" ht="12.75">
      <c r="A12" s="34" t="s">
        <v>624</v>
      </c>
      <c r="B12" s="250" t="s">
        <v>649</v>
      </c>
      <c r="C12" s="245"/>
      <c r="D12" s="243">
        <f>D13</f>
        <v>4287683</v>
      </c>
      <c r="F12" s="231"/>
    </row>
    <row r="13" spans="1:6" ht="25.5">
      <c r="A13" s="246" t="s">
        <v>516</v>
      </c>
      <c r="B13" s="250" t="s">
        <v>650</v>
      </c>
      <c r="C13" s="245" t="s">
        <v>99</v>
      </c>
      <c r="D13" s="243">
        <f>SUM(D14:D16)</f>
        <v>4287683</v>
      </c>
      <c r="F13" s="231"/>
    </row>
    <row r="14" spans="1:6" ht="51">
      <c r="A14" s="244" t="s">
        <v>104</v>
      </c>
      <c r="B14" s="250" t="s">
        <v>650</v>
      </c>
      <c r="C14" s="245">
        <v>100</v>
      </c>
      <c r="D14" s="247">
        <v>3957934</v>
      </c>
      <c r="F14" s="231"/>
    </row>
    <row r="15" spans="1:6" ht="25.5">
      <c r="A15" s="244" t="s">
        <v>482</v>
      </c>
      <c r="B15" s="250" t="s">
        <v>650</v>
      </c>
      <c r="C15" s="245">
        <v>200</v>
      </c>
      <c r="D15" s="247">
        <v>295793</v>
      </c>
      <c r="F15" s="231"/>
    </row>
    <row r="16" spans="1:6" ht="12.75">
      <c r="A16" s="244" t="s">
        <v>89</v>
      </c>
      <c r="B16" s="250" t="s">
        <v>650</v>
      </c>
      <c r="C16" s="245">
        <v>800</v>
      </c>
      <c r="D16" s="247">
        <v>33956</v>
      </c>
      <c r="F16" s="231"/>
    </row>
    <row r="17" spans="1:6" ht="25.5">
      <c r="A17" s="253" t="s">
        <v>22</v>
      </c>
      <c r="B17" s="250" t="s">
        <v>651</v>
      </c>
      <c r="C17" s="245"/>
      <c r="D17" s="243">
        <f>D18</f>
        <v>23506467</v>
      </c>
      <c r="F17" s="231"/>
    </row>
    <row r="18" spans="1:6" ht="38.25">
      <c r="A18" s="34" t="s">
        <v>400</v>
      </c>
      <c r="B18" s="250" t="s">
        <v>652</v>
      </c>
      <c r="C18" s="245"/>
      <c r="D18" s="243">
        <f>D19+D21+D23+D25</f>
        <v>23506467</v>
      </c>
      <c r="F18" s="231"/>
    </row>
    <row r="19" spans="1:6" ht="25.5">
      <c r="A19" s="246" t="s">
        <v>516</v>
      </c>
      <c r="B19" s="250" t="s">
        <v>653</v>
      </c>
      <c r="C19" s="245"/>
      <c r="D19" s="243">
        <f>D20</f>
        <v>17371017</v>
      </c>
      <c r="F19" s="231"/>
    </row>
    <row r="20" spans="1:6" ht="25.5">
      <c r="A20" s="244" t="s">
        <v>102</v>
      </c>
      <c r="B20" s="250" t="s">
        <v>653</v>
      </c>
      <c r="C20" s="245">
        <v>600</v>
      </c>
      <c r="D20" s="247">
        <v>17371017</v>
      </c>
      <c r="F20" s="231"/>
    </row>
    <row r="21" spans="1:6" ht="12.75">
      <c r="A21" s="201" t="s">
        <v>301</v>
      </c>
      <c r="B21" s="250" t="s">
        <v>300</v>
      </c>
      <c r="C21" s="246"/>
      <c r="D21" s="247">
        <v>5095842</v>
      </c>
      <c r="F21" s="231"/>
    </row>
    <row r="22" spans="1:6" ht="25.5">
      <c r="A22" s="244" t="s">
        <v>102</v>
      </c>
      <c r="B22" s="250" t="s">
        <v>300</v>
      </c>
      <c r="C22" s="246">
        <v>600</v>
      </c>
      <c r="D22" s="247">
        <v>5095842</v>
      </c>
      <c r="F22" s="231"/>
    </row>
    <row r="23" spans="1:6" ht="25.5">
      <c r="A23" s="201" t="s">
        <v>854</v>
      </c>
      <c r="B23" s="250" t="s">
        <v>855</v>
      </c>
      <c r="C23" s="246"/>
      <c r="D23" s="247">
        <v>236408</v>
      </c>
      <c r="F23" s="231"/>
    </row>
    <row r="24" spans="1:6" ht="25.5">
      <c r="A24" s="244" t="s">
        <v>102</v>
      </c>
      <c r="B24" s="250" t="s">
        <v>855</v>
      </c>
      <c r="C24" s="246">
        <v>600</v>
      </c>
      <c r="D24" s="247">
        <v>236408</v>
      </c>
      <c r="F24" s="231"/>
    </row>
    <row r="25" spans="1:6" ht="24">
      <c r="A25" s="35" t="s">
        <v>622</v>
      </c>
      <c r="B25" s="250" t="s">
        <v>585</v>
      </c>
      <c r="C25" s="245"/>
      <c r="D25" s="243">
        <v>803200</v>
      </c>
      <c r="F25" s="231"/>
    </row>
    <row r="26" spans="1:6" ht="25.5">
      <c r="A26" s="256" t="s">
        <v>103</v>
      </c>
      <c r="B26" s="258" t="s">
        <v>585</v>
      </c>
      <c r="C26" s="257">
        <v>200</v>
      </c>
      <c r="D26" s="332">
        <v>803200</v>
      </c>
      <c r="F26" s="231"/>
    </row>
    <row r="27" spans="1:6" ht="25.5">
      <c r="A27" s="287" t="s">
        <v>185</v>
      </c>
      <c r="B27" s="333" t="s">
        <v>808</v>
      </c>
      <c r="C27" s="238" t="s">
        <v>99</v>
      </c>
      <c r="D27" s="273">
        <f>D28+D36+D55</f>
        <v>17187503</v>
      </c>
      <c r="F27" s="231"/>
    </row>
    <row r="28" spans="1:6" ht="38.25">
      <c r="A28" s="253" t="s">
        <v>261</v>
      </c>
      <c r="B28" s="254" t="s">
        <v>812</v>
      </c>
      <c r="C28" s="245" t="s">
        <v>99</v>
      </c>
      <c r="D28" s="243">
        <f>D29+D32</f>
        <v>2196300</v>
      </c>
      <c r="F28" s="231"/>
    </row>
    <row r="29" spans="1:6" ht="38.25">
      <c r="A29" s="36" t="s">
        <v>898</v>
      </c>
      <c r="B29" s="254" t="s">
        <v>142</v>
      </c>
      <c r="C29" s="245"/>
      <c r="D29" s="243">
        <f>D30</f>
        <v>124300</v>
      </c>
      <c r="F29" s="231"/>
    </row>
    <row r="30" spans="1:6" ht="38.25">
      <c r="A30" s="246" t="s">
        <v>390</v>
      </c>
      <c r="B30" s="250" t="s">
        <v>899</v>
      </c>
      <c r="C30" s="245" t="s">
        <v>99</v>
      </c>
      <c r="D30" s="243">
        <f>D31</f>
        <v>124300</v>
      </c>
      <c r="F30" s="231"/>
    </row>
    <row r="31" spans="1:6" ht="25.5">
      <c r="A31" s="244" t="s">
        <v>102</v>
      </c>
      <c r="B31" s="250" t="s">
        <v>899</v>
      </c>
      <c r="C31" s="245" t="s">
        <v>91</v>
      </c>
      <c r="D31" s="247">
        <v>124300</v>
      </c>
      <c r="F31" s="231"/>
    </row>
    <row r="32" spans="1:6" ht="38.25">
      <c r="A32" s="37" t="s">
        <v>81</v>
      </c>
      <c r="B32" s="254" t="s">
        <v>82</v>
      </c>
      <c r="C32" s="245"/>
      <c r="D32" s="243">
        <f>D33</f>
        <v>2072000</v>
      </c>
      <c r="F32" s="231"/>
    </row>
    <row r="33" spans="1:6" ht="25.5">
      <c r="A33" s="246" t="s">
        <v>271</v>
      </c>
      <c r="B33" s="254" t="s">
        <v>83</v>
      </c>
      <c r="C33" s="245" t="s">
        <v>99</v>
      </c>
      <c r="D33" s="243">
        <f>SUM(D34:D35)</f>
        <v>2072000</v>
      </c>
      <c r="F33" s="231"/>
    </row>
    <row r="34" spans="1:6" ht="51">
      <c r="A34" s="244" t="s">
        <v>104</v>
      </c>
      <c r="B34" s="254" t="s">
        <v>83</v>
      </c>
      <c r="C34" s="245">
        <v>100</v>
      </c>
      <c r="D34" s="247">
        <v>1914082.48</v>
      </c>
      <c r="F34" s="231"/>
    </row>
    <row r="35" spans="1:6" ht="25.5">
      <c r="A35" s="244" t="s">
        <v>482</v>
      </c>
      <c r="B35" s="254" t="s">
        <v>83</v>
      </c>
      <c r="C35" s="245">
        <v>200</v>
      </c>
      <c r="D35" s="247">
        <v>157917.52</v>
      </c>
      <c r="F35" s="231"/>
    </row>
    <row r="36" spans="1:6" ht="38.25">
      <c r="A36" s="253" t="s">
        <v>186</v>
      </c>
      <c r="B36" s="254" t="s">
        <v>668</v>
      </c>
      <c r="C36" s="245" t="s">
        <v>99</v>
      </c>
      <c r="D36" s="243">
        <f>D37+D44+D48+D51</f>
        <v>8543440</v>
      </c>
      <c r="F36" s="231"/>
    </row>
    <row r="37" spans="1:6" ht="25.5">
      <c r="A37" s="34" t="s">
        <v>401</v>
      </c>
      <c r="B37" s="254" t="s">
        <v>136</v>
      </c>
      <c r="C37" s="245"/>
      <c r="D37" s="243">
        <f>D38+D41</f>
        <v>7994472</v>
      </c>
      <c r="F37" s="231"/>
    </row>
    <row r="38" spans="1:6" ht="12.75">
      <c r="A38" s="246" t="s">
        <v>24</v>
      </c>
      <c r="B38" s="250" t="s">
        <v>402</v>
      </c>
      <c r="C38" s="245" t="s">
        <v>99</v>
      </c>
      <c r="D38" s="243">
        <f>SUM(D39:D40)</f>
        <v>7016472</v>
      </c>
      <c r="F38" s="231"/>
    </row>
    <row r="39" spans="1:6" ht="25.5">
      <c r="A39" s="244" t="s">
        <v>482</v>
      </c>
      <c r="B39" s="250" t="s">
        <v>402</v>
      </c>
      <c r="C39" s="245">
        <v>200</v>
      </c>
      <c r="D39" s="247">
        <v>108000</v>
      </c>
      <c r="F39" s="231"/>
    </row>
    <row r="40" spans="1:6" ht="12.75">
      <c r="A40" s="244" t="s">
        <v>93</v>
      </c>
      <c r="B40" s="250" t="s">
        <v>402</v>
      </c>
      <c r="C40" s="245">
        <v>300</v>
      </c>
      <c r="D40" s="247">
        <v>6908472</v>
      </c>
      <c r="F40" s="231"/>
    </row>
    <row r="41" spans="1:6" ht="12.75">
      <c r="A41" s="246" t="s">
        <v>25</v>
      </c>
      <c r="B41" s="250" t="s">
        <v>403</v>
      </c>
      <c r="C41" s="245" t="s">
        <v>99</v>
      </c>
      <c r="D41" s="243">
        <f>SUM(D42:D43)</f>
        <v>978000</v>
      </c>
      <c r="F41" s="231"/>
    </row>
    <row r="42" spans="1:6" ht="25.5">
      <c r="A42" s="244" t="s">
        <v>482</v>
      </c>
      <c r="B42" s="250" t="s">
        <v>403</v>
      </c>
      <c r="C42" s="245">
        <v>200</v>
      </c>
      <c r="D42" s="247">
        <v>19000</v>
      </c>
      <c r="F42" s="231"/>
    </row>
    <row r="43" spans="1:6" ht="12.75">
      <c r="A43" s="244" t="s">
        <v>93</v>
      </c>
      <c r="B43" s="250" t="s">
        <v>403</v>
      </c>
      <c r="C43" s="245" t="s">
        <v>92</v>
      </c>
      <c r="D43" s="247">
        <v>959000</v>
      </c>
      <c r="F43" s="231"/>
    </row>
    <row r="44" spans="1:7" ht="25.5">
      <c r="A44" s="33" t="s">
        <v>133</v>
      </c>
      <c r="B44" s="254" t="s">
        <v>137</v>
      </c>
      <c r="C44" s="242"/>
      <c r="D44" s="243">
        <f>D45</f>
        <v>140297</v>
      </c>
      <c r="E44" s="334"/>
      <c r="F44" s="231"/>
      <c r="G44" s="335"/>
    </row>
    <row r="45" spans="1:7" ht="25.5">
      <c r="A45" s="246" t="s">
        <v>518</v>
      </c>
      <c r="B45" s="250" t="s">
        <v>138</v>
      </c>
      <c r="C45" s="245" t="s">
        <v>99</v>
      </c>
      <c r="D45" s="243">
        <f>SUM(D46:D47)</f>
        <v>140297</v>
      </c>
      <c r="E45" s="336"/>
      <c r="F45" s="231"/>
      <c r="G45" s="335"/>
    </row>
    <row r="46" spans="1:7" ht="25.5">
      <c r="A46" s="244" t="s">
        <v>482</v>
      </c>
      <c r="B46" s="250" t="s">
        <v>138</v>
      </c>
      <c r="C46" s="245">
        <v>200</v>
      </c>
      <c r="D46" s="243">
        <v>2460.98</v>
      </c>
      <c r="E46" s="211"/>
      <c r="F46" s="231"/>
      <c r="G46" s="211"/>
    </row>
    <row r="47" spans="1:7" ht="12.75">
      <c r="A47" s="244" t="s">
        <v>93</v>
      </c>
      <c r="B47" s="250" t="s">
        <v>138</v>
      </c>
      <c r="C47" s="245" t="s">
        <v>92</v>
      </c>
      <c r="D47" s="247">
        <v>137836.02</v>
      </c>
      <c r="E47" s="211"/>
      <c r="F47" s="231"/>
      <c r="G47" s="211"/>
    </row>
    <row r="48" spans="1:6" s="338" customFormat="1" ht="25.5">
      <c r="A48" s="34" t="s">
        <v>320</v>
      </c>
      <c r="B48" s="254" t="s">
        <v>182</v>
      </c>
      <c r="C48" s="337"/>
      <c r="D48" s="243">
        <f>D49</f>
        <v>10000</v>
      </c>
      <c r="F48" s="231"/>
    </row>
    <row r="49" spans="1:6" s="338" customFormat="1" ht="25.5">
      <c r="A49" s="34" t="s">
        <v>184</v>
      </c>
      <c r="B49" s="250" t="s">
        <v>183</v>
      </c>
      <c r="C49" s="337"/>
      <c r="D49" s="243">
        <f>D50</f>
        <v>10000</v>
      </c>
      <c r="F49" s="231"/>
    </row>
    <row r="50" spans="1:6" s="338" customFormat="1" ht="12.75">
      <c r="A50" s="244" t="s">
        <v>93</v>
      </c>
      <c r="B50" s="250" t="s">
        <v>183</v>
      </c>
      <c r="C50" s="250">
        <v>300</v>
      </c>
      <c r="D50" s="247">
        <v>10000</v>
      </c>
      <c r="F50" s="231"/>
    </row>
    <row r="51" spans="1:7" ht="38.25">
      <c r="A51" s="36" t="s">
        <v>404</v>
      </c>
      <c r="B51" s="254" t="s">
        <v>139</v>
      </c>
      <c r="C51" s="242"/>
      <c r="D51" s="243">
        <f>D52</f>
        <v>398671</v>
      </c>
      <c r="E51" s="211"/>
      <c r="F51" s="231"/>
      <c r="G51" s="211"/>
    </row>
    <row r="52" spans="1:7" ht="25.5">
      <c r="A52" s="246" t="s">
        <v>124</v>
      </c>
      <c r="B52" s="250" t="s">
        <v>140</v>
      </c>
      <c r="C52" s="245" t="s">
        <v>99</v>
      </c>
      <c r="D52" s="243">
        <f>SUM(D53:D54)</f>
        <v>398671</v>
      </c>
      <c r="E52" s="211"/>
      <c r="F52" s="231"/>
      <c r="G52" s="211"/>
    </row>
    <row r="53" spans="1:7" ht="25.5">
      <c r="A53" s="244" t="s">
        <v>482</v>
      </c>
      <c r="B53" s="250" t="s">
        <v>140</v>
      </c>
      <c r="C53" s="245">
        <v>200</v>
      </c>
      <c r="D53" s="247">
        <v>2500</v>
      </c>
      <c r="E53" s="211"/>
      <c r="F53" s="231"/>
      <c r="G53" s="211"/>
    </row>
    <row r="54" spans="1:7" ht="12.75">
      <c r="A54" s="244" t="s">
        <v>93</v>
      </c>
      <c r="B54" s="250" t="s">
        <v>140</v>
      </c>
      <c r="C54" s="245">
        <v>300</v>
      </c>
      <c r="D54" s="247">
        <v>396171</v>
      </c>
      <c r="E54" s="211"/>
      <c r="F54" s="231"/>
      <c r="G54" s="211"/>
    </row>
    <row r="55" spans="1:7" ht="51">
      <c r="A55" s="253" t="s">
        <v>712</v>
      </c>
      <c r="B55" s="242" t="s">
        <v>813</v>
      </c>
      <c r="C55" s="242"/>
      <c r="D55" s="243">
        <f>D56+D59+D62</f>
        <v>6447763</v>
      </c>
      <c r="E55" s="211"/>
      <c r="F55" s="231"/>
      <c r="G55" s="211"/>
    </row>
    <row r="56" spans="1:7" ht="38.25">
      <c r="A56" s="34" t="s">
        <v>77</v>
      </c>
      <c r="B56" s="242" t="s">
        <v>134</v>
      </c>
      <c r="C56" s="245"/>
      <c r="D56" s="243">
        <f>D57</f>
        <v>1275422</v>
      </c>
      <c r="E56" s="211"/>
      <c r="F56" s="231"/>
      <c r="G56" s="211"/>
    </row>
    <row r="57" spans="1:7" ht="12.75">
      <c r="A57" s="33" t="s">
        <v>562</v>
      </c>
      <c r="B57" s="250" t="s">
        <v>78</v>
      </c>
      <c r="C57" s="245"/>
      <c r="D57" s="243">
        <f>D58</f>
        <v>1275422</v>
      </c>
      <c r="E57" s="211"/>
      <c r="F57" s="231"/>
      <c r="G57" s="211"/>
    </row>
    <row r="58" spans="1:7" ht="12.75">
      <c r="A58" s="244" t="s">
        <v>93</v>
      </c>
      <c r="B58" s="250" t="s">
        <v>78</v>
      </c>
      <c r="C58" s="245">
        <v>300</v>
      </c>
      <c r="D58" s="247">
        <v>1275422</v>
      </c>
      <c r="E58" s="211"/>
      <c r="F58" s="231"/>
      <c r="G58" s="211"/>
    </row>
    <row r="59" spans="1:7" ht="38.25">
      <c r="A59" s="34" t="s">
        <v>135</v>
      </c>
      <c r="B59" s="254" t="s">
        <v>79</v>
      </c>
      <c r="C59" s="245"/>
      <c r="D59" s="243">
        <f>D60</f>
        <v>4284341</v>
      </c>
      <c r="E59" s="211"/>
      <c r="F59" s="231"/>
      <c r="G59" s="211"/>
    </row>
    <row r="60" spans="1:7" ht="25.5">
      <c r="A60" s="246" t="s">
        <v>26</v>
      </c>
      <c r="B60" s="250" t="s">
        <v>80</v>
      </c>
      <c r="C60" s="245" t="s">
        <v>99</v>
      </c>
      <c r="D60" s="243">
        <f>SUM(D61:D61)</f>
        <v>4284341</v>
      </c>
      <c r="E60" s="211"/>
      <c r="F60" s="231"/>
      <c r="G60" s="211"/>
    </row>
    <row r="61" spans="1:7" ht="12.75">
      <c r="A61" s="244" t="s">
        <v>93</v>
      </c>
      <c r="B61" s="250" t="s">
        <v>80</v>
      </c>
      <c r="C61" s="245">
        <v>300</v>
      </c>
      <c r="D61" s="247">
        <v>4284341</v>
      </c>
      <c r="E61" s="211"/>
      <c r="F61" s="231"/>
      <c r="G61" s="211"/>
    </row>
    <row r="62" spans="1:7" ht="38.25">
      <c r="A62" s="244" t="s">
        <v>23</v>
      </c>
      <c r="B62" s="242" t="s">
        <v>754</v>
      </c>
      <c r="C62" s="245"/>
      <c r="D62" s="243">
        <f>D63</f>
        <v>888000</v>
      </c>
      <c r="E62" s="336"/>
      <c r="F62" s="231"/>
      <c r="G62" s="339"/>
    </row>
    <row r="63" spans="1:7" ht="38.25">
      <c r="A63" s="246" t="s">
        <v>611</v>
      </c>
      <c r="B63" s="250" t="s">
        <v>900</v>
      </c>
      <c r="C63" s="245"/>
      <c r="D63" s="243">
        <f>SUM(D64:D65)</f>
        <v>888000</v>
      </c>
      <c r="E63" s="336"/>
      <c r="F63" s="231"/>
      <c r="G63" s="339"/>
    </row>
    <row r="64" spans="1:7" ht="51">
      <c r="A64" s="244" t="s">
        <v>104</v>
      </c>
      <c r="B64" s="250" t="s">
        <v>900</v>
      </c>
      <c r="C64" s="245">
        <v>100</v>
      </c>
      <c r="D64" s="247">
        <v>791834.16</v>
      </c>
      <c r="E64" s="336"/>
      <c r="F64" s="231"/>
      <c r="G64" s="339"/>
    </row>
    <row r="65" spans="1:7" ht="25.5">
      <c r="A65" s="256" t="s">
        <v>482</v>
      </c>
      <c r="B65" s="258" t="s">
        <v>900</v>
      </c>
      <c r="C65" s="257" t="s">
        <v>600</v>
      </c>
      <c r="D65" s="261">
        <v>96165.84</v>
      </c>
      <c r="E65" s="211"/>
      <c r="F65" s="231"/>
      <c r="G65" s="211"/>
    </row>
    <row r="66" spans="1:7" ht="29.25" customHeight="1">
      <c r="A66" s="287" t="s">
        <v>58</v>
      </c>
      <c r="B66" s="333" t="s">
        <v>564</v>
      </c>
      <c r="C66" s="238" t="s">
        <v>99</v>
      </c>
      <c r="D66" s="273">
        <f>D67+D80+D111+D117</f>
        <v>241943145.91000003</v>
      </c>
      <c r="E66" s="211"/>
      <c r="F66" s="231"/>
      <c r="G66" s="211"/>
    </row>
    <row r="67" spans="1:7" ht="38.25">
      <c r="A67" s="253" t="s">
        <v>876</v>
      </c>
      <c r="B67" s="250" t="s">
        <v>641</v>
      </c>
      <c r="C67" s="245" t="s">
        <v>99</v>
      </c>
      <c r="D67" s="243">
        <f>D68+D71+D76</f>
        <v>7214363</v>
      </c>
      <c r="E67" s="211"/>
      <c r="F67" s="231"/>
      <c r="G67" s="211"/>
    </row>
    <row r="68" spans="1:7" ht="38.25">
      <c r="A68" s="33" t="s">
        <v>911</v>
      </c>
      <c r="B68" s="250" t="s">
        <v>642</v>
      </c>
      <c r="C68" s="245"/>
      <c r="D68" s="243">
        <f>D69</f>
        <v>221676</v>
      </c>
      <c r="E68" s="211"/>
      <c r="F68" s="231"/>
      <c r="G68" s="211"/>
    </row>
    <row r="69" spans="1:7" ht="38.25">
      <c r="A69" s="244" t="s">
        <v>260</v>
      </c>
      <c r="B69" s="250" t="s">
        <v>643</v>
      </c>
      <c r="C69" s="245"/>
      <c r="D69" s="243">
        <f>D70</f>
        <v>221676</v>
      </c>
      <c r="E69" s="211"/>
      <c r="F69" s="231"/>
      <c r="G69" s="211"/>
    </row>
    <row r="70" spans="1:7" ht="51">
      <c r="A70" s="244" t="s">
        <v>104</v>
      </c>
      <c r="B70" s="250" t="s">
        <v>643</v>
      </c>
      <c r="C70" s="245">
        <v>100</v>
      </c>
      <c r="D70" s="247">
        <v>221676</v>
      </c>
      <c r="E70" s="211"/>
      <c r="F70" s="231"/>
      <c r="G70" s="211"/>
    </row>
    <row r="71" spans="1:7" ht="27.75" customHeight="1">
      <c r="A71" s="38" t="s">
        <v>661</v>
      </c>
      <c r="B71" s="250" t="s">
        <v>645</v>
      </c>
      <c r="C71" s="245"/>
      <c r="D71" s="243">
        <f>D72</f>
        <v>5676951</v>
      </c>
      <c r="E71" s="211"/>
      <c r="F71" s="231"/>
      <c r="G71" s="211"/>
    </row>
    <row r="72" spans="1:7" ht="25.5">
      <c r="A72" s="246" t="s">
        <v>126</v>
      </c>
      <c r="B72" s="250" t="s">
        <v>646</v>
      </c>
      <c r="C72" s="245" t="s">
        <v>99</v>
      </c>
      <c r="D72" s="243">
        <f>SUM(D73:D75)</f>
        <v>5676951</v>
      </c>
      <c r="E72" s="211"/>
      <c r="F72" s="231"/>
      <c r="G72" s="211"/>
    </row>
    <row r="73" spans="1:7" ht="51">
      <c r="A73" s="244" t="s">
        <v>104</v>
      </c>
      <c r="B73" s="250" t="s">
        <v>646</v>
      </c>
      <c r="C73" s="245" t="s">
        <v>27</v>
      </c>
      <c r="D73" s="247">
        <f>4573735+600</f>
        <v>4574335</v>
      </c>
      <c r="E73" s="211"/>
      <c r="F73" s="231"/>
      <c r="G73" s="211"/>
    </row>
    <row r="74" spans="1:7" ht="25.5">
      <c r="A74" s="244" t="s">
        <v>482</v>
      </c>
      <c r="B74" s="250" t="s">
        <v>646</v>
      </c>
      <c r="C74" s="245" t="s">
        <v>600</v>
      </c>
      <c r="D74" s="247">
        <v>1071930</v>
      </c>
      <c r="E74" s="211"/>
      <c r="F74" s="231"/>
      <c r="G74" s="211"/>
    </row>
    <row r="75" spans="1:7" ht="12.75">
      <c r="A75" s="244" t="s">
        <v>89</v>
      </c>
      <c r="B75" s="250" t="s">
        <v>646</v>
      </c>
      <c r="C75" s="245">
        <v>800</v>
      </c>
      <c r="D75" s="247">
        <v>30686</v>
      </c>
      <c r="E75" s="211"/>
      <c r="F75" s="231"/>
      <c r="G75" s="211"/>
    </row>
    <row r="76" spans="1:7" ht="25.5">
      <c r="A76" s="246" t="s">
        <v>394</v>
      </c>
      <c r="B76" s="250" t="s">
        <v>398</v>
      </c>
      <c r="C76" s="245"/>
      <c r="D76" s="243">
        <f>D77</f>
        <v>1315736</v>
      </c>
      <c r="E76" s="211"/>
      <c r="F76" s="231"/>
      <c r="G76" s="211"/>
    </row>
    <row r="77" spans="1:7" ht="25.5">
      <c r="A77" s="246" t="s">
        <v>514</v>
      </c>
      <c r="B77" s="250" t="s">
        <v>399</v>
      </c>
      <c r="C77" s="245"/>
      <c r="D77" s="243">
        <f>SUM(D78:D79)</f>
        <v>1315736</v>
      </c>
      <c r="E77" s="211"/>
      <c r="F77" s="231"/>
      <c r="G77" s="211"/>
    </row>
    <row r="78" spans="1:7" ht="51">
      <c r="A78" s="244" t="s">
        <v>104</v>
      </c>
      <c r="B78" s="250" t="s">
        <v>399</v>
      </c>
      <c r="C78" s="245" t="s">
        <v>27</v>
      </c>
      <c r="D78" s="247">
        <v>1103899</v>
      </c>
      <c r="E78" s="211"/>
      <c r="F78" s="231"/>
      <c r="G78" s="211"/>
    </row>
    <row r="79" spans="1:6" ht="25.5">
      <c r="A79" s="244" t="s">
        <v>482</v>
      </c>
      <c r="B79" s="250" t="s">
        <v>399</v>
      </c>
      <c r="C79" s="245" t="s">
        <v>600</v>
      </c>
      <c r="D79" s="247">
        <v>211837</v>
      </c>
      <c r="F79" s="231"/>
    </row>
    <row r="80" spans="1:6" ht="38.25">
      <c r="A80" s="253" t="s">
        <v>59</v>
      </c>
      <c r="B80" s="254" t="s">
        <v>565</v>
      </c>
      <c r="C80" s="245" t="s">
        <v>99</v>
      </c>
      <c r="D80" s="243">
        <f>D81+D89+D99+D104</f>
        <v>206547496.35000002</v>
      </c>
      <c r="F80" s="231"/>
    </row>
    <row r="81" spans="1:6" ht="25.5">
      <c r="A81" s="33" t="s">
        <v>906</v>
      </c>
      <c r="B81" s="250" t="s">
        <v>566</v>
      </c>
      <c r="C81" s="245"/>
      <c r="D81" s="243">
        <f>D82+D85</f>
        <v>89046983.48</v>
      </c>
      <c r="F81" s="231"/>
    </row>
    <row r="82" spans="1:6" ht="76.5">
      <c r="A82" s="16" t="s">
        <v>630</v>
      </c>
      <c r="B82" s="250" t="s">
        <v>631</v>
      </c>
      <c r="C82" s="245" t="s">
        <v>99</v>
      </c>
      <c r="D82" s="243">
        <f>SUM(D83:D84)</f>
        <v>48099805</v>
      </c>
      <c r="F82" s="231"/>
    </row>
    <row r="83" spans="1:6" ht="51">
      <c r="A83" s="244" t="s">
        <v>104</v>
      </c>
      <c r="B83" s="250" t="s">
        <v>631</v>
      </c>
      <c r="C83" s="245" t="s">
        <v>27</v>
      </c>
      <c r="D83" s="247">
        <v>47613825</v>
      </c>
      <c r="F83" s="231"/>
    </row>
    <row r="84" spans="1:6" ht="25.5">
      <c r="A84" s="244" t="s">
        <v>482</v>
      </c>
      <c r="B84" s="250" t="s">
        <v>631</v>
      </c>
      <c r="C84" s="245" t="s">
        <v>600</v>
      </c>
      <c r="D84" s="247">
        <v>485980</v>
      </c>
      <c r="F84" s="231"/>
    </row>
    <row r="85" spans="1:6" ht="25.5">
      <c r="A85" s="246" t="s">
        <v>126</v>
      </c>
      <c r="B85" s="250" t="s">
        <v>632</v>
      </c>
      <c r="C85" s="245"/>
      <c r="D85" s="243">
        <f>SUM(D86:D88)</f>
        <v>40947178.480000004</v>
      </c>
      <c r="F85" s="231"/>
    </row>
    <row r="86" spans="1:6" ht="51">
      <c r="A86" s="244" t="s">
        <v>104</v>
      </c>
      <c r="B86" s="250" t="s">
        <v>632</v>
      </c>
      <c r="C86" s="245">
        <v>100</v>
      </c>
      <c r="D86" s="247">
        <f>14715324+1564</f>
        <v>14716888</v>
      </c>
      <c r="F86" s="231"/>
    </row>
    <row r="87" spans="1:6" ht="25.5">
      <c r="A87" s="244" t="s">
        <v>482</v>
      </c>
      <c r="B87" s="250" t="s">
        <v>632</v>
      </c>
      <c r="C87" s="245">
        <v>200</v>
      </c>
      <c r="D87" s="247">
        <v>23913890.48</v>
      </c>
      <c r="F87" s="231"/>
    </row>
    <row r="88" spans="1:6" ht="12.75">
      <c r="A88" s="244" t="s">
        <v>89</v>
      </c>
      <c r="B88" s="250" t="s">
        <v>632</v>
      </c>
      <c r="C88" s="245">
        <v>800</v>
      </c>
      <c r="D88" s="247">
        <v>2316400</v>
      </c>
      <c r="F88" s="231"/>
    </row>
    <row r="89" spans="1:6" ht="25.5">
      <c r="A89" s="33" t="s">
        <v>419</v>
      </c>
      <c r="B89" s="250" t="s">
        <v>141</v>
      </c>
      <c r="C89" s="245"/>
      <c r="D89" s="243">
        <f>D90+D93+D95+D97</f>
        <v>8214203</v>
      </c>
      <c r="F89" s="231"/>
    </row>
    <row r="90" spans="1:6" ht="12.75">
      <c r="A90" s="244" t="s">
        <v>658</v>
      </c>
      <c r="B90" s="250" t="s">
        <v>413</v>
      </c>
      <c r="C90" s="245"/>
      <c r="D90" s="243">
        <f>SUM(D91:D92)</f>
        <v>4207872</v>
      </c>
      <c r="F90" s="231"/>
    </row>
    <row r="91" spans="1:6" ht="25.5">
      <c r="A91" s="244" t="s">
        <v>482</v>
      </c>
      <c r="B91" s="250" t="s">
        <v>413</v>
      </c>
      <c r="C91" s="245">
        <v>200</v>
      </c>
      <c r="D91" s="247">
        <v>16730</v>
      </c>
      <c r="F91" s="231"/>
    </row>
    <row r="92" spans="1:7" ht="12.75">
      <c r="A92" s="244" t="s">
        <v>93</v>
      </c>
      <c r="B92" s="250" t="s">
        <v>413</v>
      </c>
      <c r="C92" s="245">
        <v>300</v>
      </c>
      <c r="D92" s="247">
        <v>4191142</v>
      </c>
      <c r="E92" s="340"/>
      <c r="F92" s="231"/>
      <c r="G92" s="335"/>
    </row>
    <row r="93" spans="1:7" ht="25.5">
      <c r="A93" s="406" t="s">
        <v>875</v>
      </c>
      <c r="B93" s="250" t="s">
        <v>468</v>
      </c>
      <c r="C93" s="245"/>
      <c r="D93" s="243">
        <v>2190481</v>
      </c>
      <c r="E93" s="340"/>
      <c r="F93" s="231"/>
      <c r="G93" s="335"/>
    </row>
    <row r="94" spans="1:7" ht="25.5">
      <c r="A94" s="244" t="s">
        <v>482</v>
      </c>
      <c r="B94" s="250" t="s">
        <v>468</v>
      </c>
      <c r="C94" s="245">
        <v>200</v>
      </c>
      <c r="D94" s="243">
        <v>2190481</v>
      </c>
      <c r="E94" s="340"/>
      <c r="F94" s="231"/>
      <c r="G94" s="335"/>
    </row>
    <row r="95" spans="1:7" ht="25.5">
      <c r="A95" s="394" t="s">
        <v>294</v>
      </c>
      <c r="B95" s="250" t="s">
        <v>293</v>
      </c>
      <c r="C95" s="245"/>
      <c r="D95" s="247">
        <f>D96</f>
        <v>1180303</v>
      </c>
      <c r="E95" s="340"/>
      <c r="F95" s="231"/>
      <c r="G95" s="335"/>
    </row>
    <row r="96" spans="1:7" ht="25.5">
      <c r="A96" s="244" t="s">
        <v>482</v>
      </c>
      <c r="B96" s="250" t="s">
        <v>293</v>
      </c>
      <c r="C96" s="245">
        <v>200</v>
      </c>
      <c r="D96" s="247">
        <v>1180303</v>
      </c>
      <c r="E96" s="340"/>
      <c r="F96" s="231"/>
      <c r="G96" s="335"/>
    </row>
    <row r="97" spans="1:7" ht="25.5">
      <c r="A97" s="30" t="s">
        <v>500</v>
      </c>
      <c r="B97" s="250" t="s">
        <v>662</v>
      </c>
      <c r="C97" s="245"/>
      <c r="D97" s="243">
        <f>D98</f>
        <v>635547</v>
      </c>
      <c r="E97" s="336"/>
      <c r="F97" s="231"/>
      <c r="G97" s="335"/>
    </row>
    <row r="98" spans="1:7" ht="25.5">
      <c r="A98" s="244" t="s">
        <v>482</v>
      </c>
      <c r="B98" s="250" t="s">
        <v>662</v>
      </c>
      <c r="C98" s="245">
        <v>200</v>
      </c>
      <c r="D98" s="247">
        <v>635547</v>
      </c>
      <c r="E98" s="336"/>
      <c r="F98" s="231"/>
      <c r="G98" s="335"/>
    </row>
    <row r="99" spans="1:6" ht="25.5">
      <c r="A99" s="33" t="s">
        <v>908</v>
      </c>
      <c r="B99" s="250" t="s">
        <v>633</v>
      </c>
      <c r="C99" s="245"/>
      <c r="D99" s="243">
        <f>D100+D102</f>
        <v>106846643.87</v>
      </c>
      <c r="F99" s="231"/>
    </row>
    <row r="100" spans="1:6" ht="78" customHeight="1">
      <c r="A100" s="16" t="s">
        <v>430</v>
      </c>
      <c r="B100" s="250" t="s">
        <v>634</v>
      </c>
      <c r="C100" s="245" t="s">
        <v>99</v>
      </c>
      <c r="D100" s="243">
        <f>D101</f>
        <v>88283012</v>
      </c>
      <c r="F100" s="231"/>
    </row>
    <row r="101" spans="1:6" ht="25.5">
      <c r="A101" s="244" t="s">
        <v>102</v>
      </c>
      <c r="B101" s="250" t="s">
        <v>634</v>
      </c>
      <c r="C101" s="245">
        <v>600</v>
      </c>
      <c r="D101" s="247">
        <v>88283012</v>
      </c>
      <c r="F101" s="231"/>
    </row>
    <row r="102" spans="1:6" ht="25.5">
      <c r="A102" s="246" t="s">
        <v>126</v>
      </c>
      <c r="B102" s="250" t="s">
        <v>635</v>
      </c>
      <c r="C102" s="245"/>
      <c r="D102" s="243">
        <f>D103</f>
        <v>18563631.87</v>
      </c>
      <c r="F102" s="231"/>
    </row>
    <row r="103" spans="1:6" ht="25.5">
      <c r="A103" s="244" t="s">
        <v>102</v>
      </c>
      <c r="B103" s="250" t="s">
        <v>635</v>
      </c>
      <c r="C103" s="245">
        <v>600</v>
      </c>
      <c r="D103" s="247">
        <f>18563098+533.87</f>
        <v>18563631.87</v>
      </c>
      <c r="F103" s="231"/>
    </row>
    <row r="104" spans="1:6" ht="12.75">
      <c r="A104" s="33" t="s">
        <v>909</v>
      </c>
      <c r="B104" s="254" t="s">
        <v>636</v>
      </c>
      <c r="C104" s="245"/>
      <c r="D104" s="243">
        <f>D105+D107+D109</f>
        <v>2439666</v>
      </c>
      <c r="F104" s="231"/>
    </row>
    <row r="105" spans="1:6" ht="51">
      <c r="A105" s="201" t="s">
        <v>295</v>
      </c>
      <c r="B105" s="621" t="s">
        <v>296</v>
      </c>
      <c r="C105" s="609"/>
      <c r="D105" s="243">
        <v>223284</v>
      </c>
      <c r="F105" s="231"/>
    </row>
    <row r="106" spans="1:6" ht="25.5">
      <c r="A106" s="622" t="s">
        <v>102</v>
      </c>
      <c r="B106" s="621" t="s">
        <v>296</v>
      </c>
      <c r="C106" s="609">
        <v>600</v>
      </c>
      <c r="D106" s="243">
        <v>223284</v>
      </c>
      <c r="F106" s="231"/>
    </row>
    <row r="107" spans="1:6" ht="51">
      <c r="A107" s="30" t="s">
        <v>930</v>
      </c>
      <c r="B107" s="265" t="s">
        <v>637</v>
      </c>
      <c r="C107" s="263"/>
      <c r="D107" s="274">
        <f>D108</f>
        <v>2189382</v>
      </c>
      <c r="F107" s="231"/>
    </row>
    <row r="108" spans="1:6" ht="25.5">
      <c r="A108" s="259" t="s">
        <v>102</v>
      </c>
      <c r="B108" s="265" t="s">
        <v>637</v>
      </c>
      <c r="C108" s="263">
        <v>600</v>
      </c>
      <c r="D108" s="275">
        <v>2189382</v>
      </c>
      <c r="F108" s="231"/>
    </row>
    <row r="109" spans="1:6" ht="12.75">
      <c r="A109" s="28" t="s">
        <v>801</v>
      </c>
      <c r="B109" s="250" t="s">
        <v>588</v>
      </c>
      <c r="C109" s="245"/>
      <c r="D109" s="274">
        <f>D110</f>
        <v>27000</v>
      </c>
      <c r="F109" s="231"/>
    </row>
    <row r="110" spans="1:6" ht="25.5">
      <c r="A110" s="244" t="s">
        <v>102</v>
      </c>
      <c r="B110" s="250" t="s">
        <v>588</v>
      </c>
      <c r="C110" s="245">
        <v>300</v>
      </c>
      <c r="D110" s="275">
        <v>27000</v>
      </c>
      <c r="F110" s="231"/>
    </row>
    <row r="111" spans="1:7" ht="38.25">
      <c r="A111" s="253" t="s">
        <v>811</v>
      </c>
      <c r="B111" s="254" t="s">
        <v>638</v>
      </c>
      <c r="C111" s="245" t="s">
        <v>99</v>
      </c>
      <c r="D111" s="243">
        <f>D112</f>
        <v>25281286.56</v>
      </c>
      <c r="E111" s="211"/>
      <c r="F111" s="231"/>
      <c r="G111" s="211"/>
    </row>
    <row r="112" spans="1:7" ht="25.5">
      <c r="A112" s="33" t="s">
        <v>910</v>
      </c>
      <c r="B112" s="250" t="s">
        <v>639</v>
      </c>
      <c r="C112" s="245"/>
      <c r="D112" s="243">
        <f>D113</f>
        <v>25281286.56</v>
      </c>
      <c r="E112" s="211"/>
      <c r="F112" s="231"/>
      <c r="G112" s="211"/>
    </row>
    <row r="113" spans="1:7" ht="25.5">
      <c r="A113" s="246" t="s">
        <v>126</v>
      </c>
      <c r="B113" s="250" t="s">
        <v>640</v>
      </c>
      <c r="C113" s="245" t="s">
        <v>99</v>
      </c>
      <c r="D113" s="243">
        <f>SUM(D114:D116)</f>
        <v>25281286.56</v>
      </c>
      <c r="E113" s="211"/>
      <c r="F113" s="231"/>
      <c r="G113" s="211"/>
    </row>
    <row r="114" spans="1:7" ht="51">
      <c r="A114" s="244" t="s">
        <v>104</v>
      </c>
      <c r="B114" s="250" t="s">
        <v>640</v>
      </c>
      <c r="C114" s="245">
        <v>100</v>
      </c>
      <c r="D114" s="247">
        <v>23184531</v>
      </c>
      <c r="E114" s="211"/>
      <c r="F114" s="231"/>
      <c r="G114" s="211"/>
    </row>
    <row r="115" spans="1:7" ht="25.5">
      <c r="A115" s="244" t="s">
        <v>482</v>
      </c>
      <c r="B115" s="250" t="s">
        <v>640</v>
      </c>
      <c r="C115" s="245">
        <v>200</v>
      </c>
      <c r="D115" s="247">
        <v>1475297.56</v>
      </c>
      <c r="E115" s="211"/>
      <c r="F115" s="231"/>
      <c r="G115" s="211"/>
    </row>
    <row r="116" spans="1:7" ht="12.75">
      <c r="A116" s="301" t="s">
        <v>89</v>
      </c>
      <c r="B116" s="303" t="s">
        <v>640</v>
      </c>
      <c r="C116" s="302">
        <v>800</v>
      </c>
      <c r="D116" s="304">
        <v>621458</v>
      </c>
      <c r="E116" s="211"/>
      <c r="F116" s="231"/>
      <c r="G116" s="211"/>
    </row>
    <row r="117" spans="1:7" ht="51">
      <c r="A117" s="632" t="s">
        <v>206</v>
      </c>
      <c r="B117" s="612" t="s">
        <v>207</v>
      </c>
      <c r="C117" s="620"/>
      <c r="D117" s="623">
        <v>2900000</v>
      </c>
      <c r="E117" s="211"/>
      <c r="F117" s="231"/>
      <c r="G117" s="211"/>
    </row>
    <row r="118" spans="1:7" ht="38.25">
      <c r="A118" s="633" t="s">
        <v>208</v>
      </c>
      <c r="B118" s="636" t="s">
        <v>209</v>
      </c>
      <c r="C118" s="620"/>
      <c r="D118" s="623">
        <v>2900000</v>
      </c>
      <c r="E118" s="211"/>
      <c r="F118" s="231"/>
      <c r="G118" s="211"/>
    </row>
    <row r="119" spans="1:7" ht="38.25">
      <c r="A119" s="201" t="s">
        <v>210</v>
      </c>
      <c r="B119" s="612" t="s">
        <v>211</v>
      </c>
      <c r="C119" s="620"/>
      <c r="D119" s="623">
        <v>2900000</v>
      </c>
      <c r="E119" s="211"/>
      <c r="F119" s="231"/>
      <c r="G119" s="211"/>
    </row>
    <row r="120" spans="1:7" ht="25.5">
      <c r="A120" s="622" t="s">
        <v>212</v>
      </c>
      <c r="B120" s="612" t="s">
        <v>211</v>
      </c>
      <c r="C120" s="620">
        <v>400</v>
      </c>
      <c r="D120" s="623">
        <v>2900000</v>
      </c>
      <c r="E120" s="211"/>
      <c r="F120" s="231"/>
      <c r="G120" s="211"/>
    </row>
    <row r="121" spans="1:7" ht="38.25">
      <c r="A121" s="341" t="s">
        <v>476</v>
      </c>
      <c r="B121" s="342" t="s">
        <v>814</v>
      </c>
      <c r="C121" s="343" t="s">
        <v>99</v>
      </c>
      <c r="D121" s="344">
        <f>D122</f>
        <v>2242430</v>
      </c>
      <c r="E121" s="211"/>
      <c r="F121" s="231"/>
      <c r="G121" s="211"/>
    </row>
    <row r="122" spans="1:7" ht="63.75">
      <c r="A122" s="345" t="s">
        <v>872</v>
      </c>
      <c r="B122" s="346" t="s">
        <v>815</v>
      </c>
      <c r="C122" s="347" t="s">
        <v>99</v>
      </c>
      <c r="D122" s="348">
        <f>D123</f>
        <v>2242430</v>
      </c>
      <c r="E122" s="211"/>
      <c r="F122" s="231"/>
      <c r="G122" s="211"/>
    </row>
    <row r="123" spans="1:7" ht="38.25">
      <c r="A123" s="125" t="s">
        <v>844</v>
      </c>
      <c r="B123" s="346" t="s">
        <v>816</v>
      </c>
      <c r="C123" s="347"/>
      <c r="D123" s="348">
        <f>D124</f>
        <v>2242430</v>
      </c>
      <c r="E123" s="211"/>
      <c r="F123" s="231"/>
      <c r="G123" s="211"/>
    </row>
    <row r="124" spans="1:7" ht="12.75">
      <c r="A124" s="349" t="s">
        <v>612</v>
      </c>
      <c r="B124" s="346" t="s">
        <v>817</v>
      </c>
      <c r="C124" s="347" t="s">
        <v>99</v>
      </c>
      <c r="D124" s="348">
        <f>SUM(D125:D127)</f>
        <v>2242430</v>
      </c>
      <c r="E124" s="211"/>
      <c r="F124" s="231"/>
      <c r="G124" s="211"/>
    </row>
    <row r="125" spans="1:7" ht="25.5">
      <c r="A125" s="350" t="s">
        <v>482</v>
      </c>
      <c r="B125" s="346" t="s">
        <v>817</v>
      </c>
      <c r="C125" s="351" t="s">
        <v>600</v>
      </c>
      <c r="D125" s="352">
        <v>1825083</v>
      </c>
      <c r="E125" s="211"/>
      <c r="F125" s="231"/>
      <c r="G125" s="211"/>
    </row>
    <row r="126" spans="1:7" ht="25.5">
      <c r="A126" s="201" t="s">
        <v>353</v>
      </c>
      <c r="B126" s="346" t="s">
        <v>817</v>
      </c>
      <c r="C126" s="529">
        <v>400</v>
      </c>
      <c r="D126" s="530">
        <v>311000</v>
      </c>
      <c r="E126" s="211"/>
      <c r="F126" s="231"/>
      <c r="G126" s="211"/>
    </row>
    <row r="127" spans="1:6" ht="12.75">
      <c r="A127" s="353" t="s">
        <v>89</v>
      </c>
      <c r="B127" s="354" t="s">
        <v>817</v>
      </c>
      <c r="C127" s="355">
        <v>800</v>
      </c>
      <c r="D127" s="356">
        <v>106347</v>
      </c>
      <c r="F127" s="231"/>
    </row>
    <row r="128" spans="1:6" ht="51">
      <c r="A128" s="341" t="s">
        <v>480</v>
      </c>
      <c r="B128" s="342" t="s">
        <v>839</v>
      </c>
      <c r="C128" s="343"/>
      <c r="D128" s="344">
        <f>D129+D145</f>
        <v>18490881</v>
      </c>
      <c r="F128" s="231"/>
    </row>
    <row r="129" spans="1:6" ht="63.75">
      <c r="A129" s="357" t="s">
        <v>481</v>
      </c>
      <c r="B129" s="358" t="s">
        <v>563</v>
      </c>
      <c r="C129" s="359"/>
      <c r="D129" s="348">
        <f>D130+D133+D137+D140</f>
        <v>17876712.9</v>
      </c>
      <c r="F129" s="231"/>
    </row>
    <row r="130" spans="1:7" ht="25.5">
      <c r="A130" s="126" t="s">
        <v>489</v>
      </c>
      <c r="B130" s="346" t="s">
        <v>53</v>
      </c>
      <c r="C130" s="359"/>
      <c r="D130" s="348">
        <f>D131</f>
        <v>853069</v>
      </c>
      <c r="E130" s="334"/>
      <c r="F130" s="231"/>
      <c r="G130" s="335"/>
    </row>
    <row r="131" spans="1:7" ht="24">
      <c r="A131" s="127" t="s">
        <v>52</v>
      </c>
      <c r="B131" s="346" t="s">
        <v>51</v>
      </c>
      <c r="C131" s="359"/>
      <c r="D131" s="348">
        <f>SUM(D132:D132)</f>
        <v>853069</v>
      </c>
      <c r="E131" s="336"/>
      <c r="F131" s="231"/>
      <c r="G131" s="335"/>
    </row>
    <row r="132" spans="1:7" ht="25.5">
      <c r="A132" s="350" t="s">
        <v>482</v>
      </c>
      <c r="B132" s="346" t="s">
        <v>51</v>
      </c>
      <c r="C132" s="351">
        <v>200</v>
      </c>
      <c r="D132" s="352">
        <v>853069</v>
      </c>
      <c r="E132" s="336"/>
      <c r="F132" s="231"/>
      <c r="G132" s="335"/>
    </row>
    <row r="133" spans="1:6" ht="25.5">
      <c r="A133" s="126" t="s">
        <v>527</v>
      </c>
      <c r="B133" s="346" t="s">
        <v>904</v>
      </c>
      <c r="C133" s="351"/>
      <c r="D133" s="348">
        <f>D134</f>
        <v>10799878.9</v>
      </c>
      <c r="F133" s="231"/>
    </row>
    <row r="134" spans="1:6" ht="12.75">
      <c r="A134" s="128" t="s">
        <v>515</v>
      </c>
      <c r="B134" s="346" t="s">
        <v>905</v>
      </c>
      <c r="C134" s="351" t="s">
        <v>99</v>
      </c>
      <c r="D134" s="348">
        <f>SUM(D135:D136)</f>
        <v>10799878.9</v>
      </c>
      <c r="F134" s="231"/>
    </row>
    <row r="135" spans="1:6" ht="25.5">
      <c r="A135" s="350" t="s">
        <v>482</v>
      </c>
      <c r="B135" s="346" t="s">
        <v>905</v>
      </c>
      <c r="C135" s="351">
        <v>200</v>
      </c>
      <c r="D135" s="352">
        <v>2028932.9</v>
      </c>
      <c r="F135" s="231"/>
    </row>
    <row r="136" spans="1:6" ht="12.75">
      <c r="A136" s="350" t="s">
        <v>89</v>
      </c>
      <c r="B136" s="346" t="s">
        <v>905</v>
      </c>
      <c r="C136" s="351">
        <v>800</v>
      </c>
      <c r="D136" s="352">
        <v>8770946</v>
      </c>
      <c r="F136" s="231"/>
    </row>
    <row r="137" spans="1:7" ht="25.5">
      <c r="A137" s="126" t="s">
        <v>520</v>
      </c>
      <c r="B137" s="346" t="s">
        <v>529</v>
      </c>
      <c r="C137" s="359"/>
      <c r="D137" s="348">
        <f>D138</f>
        <v>1223765</v>
      </c>
      <c r="E137" s="360"/>
      <c r="F137" s="231"/>
      <c r="G137" s="339"/>
    </row>
    <row r="138" spans="1:7" ht="12.75">
      <c r="A138" s="350" t="s">
        <v>466</v>
      </c>
      <c r="B138" s="346" t="s">
        <v>528</v>
      </c>
      <c r="C138" s="359"/>
      <c r="D138" s="348">
        <f>D139</f>
        <v>1223765</v>
      </c>
      <c r="E138" s="361"/>
      <c r="F138" s="231"/>
      <c r="G138" s="335"/>
    </row>
    <row r="139" spans="1:7" ht="25.5">
      <c r="A139" s="353" t="s">
        <v>482</v>
      </c>
      <c r="B139" s="354" t="s">
        <v>528</v>
      </c>
      <c r="C139" s="355">
        <v>200</v>
      </c>
      <c r="D139" s="356">
        <f>1164000+59765</f>
        <v>1223765</v>
      </c>
      <c r="E139" s="360"/>
      <c r="F139" s="231"/>
      <c r="G139" s="335"/>
    </row>
    <row r="140" spans="1:7" ht="25.5">
      <c r="A140" s="31" t="s">
        <v>356</v>
      </c>
      <c r="B140" s="250" t="s">
        <v>357</v>
      </c>
      <c r="C140" s="245"/>
      <c r="D140" s="247">
        <v>5000000</v>
      </c>
      <c r="E140" s="360"/>
      <c r="F140" s="231"/>
      <c r="G140" s="335"/>
    </row>
    <row r="141" spans="1:7" ht="12.75">
      <c r="A141" s="204" t="s">
        <v>358</v>
      </c>
      <c r="B141" s="250" t="s">
        <v>359</v>
      </c>
      <c r="C141" s="245"/>
      <c r="D141" s="247">
        <v>4950000</v>
      </c>
      <c r="E141" s="360"/>
      <c r="F141" s="231"/>
      <c r="G141" s="335"/>
    </row>
    <row r="142" spans="1:7" ht="25.5">
      <c r="A142" s="244" t="s">
        <v>482</v>
      </c>
      <c r="B142" s="250" t="s">
        <v>359</v>
      </c>
      <c r="C142" s="245">
        <v>200</v>
      </c>
      <c r="D142" s="247">
        <v>4950000</v>
      </c>
      <c r="E142" s="360"/>
      <c r="F142" s="231"/>
      <c r="G142" s="335"/>
    </row>
    <row r="143" spans="1:7" ht="25.5">
      <c r="A143" s="201" t="s">
        <v>360</v>
      </c>
      <c r="B143" s="250" t="s">
        <v>361</v>
      </c>
      <c r="C143" s="245"/>
      <c r="D143" s="247">
        <v>50000</v>
      </c>
      <c r="E143" s="360"/>
      <c r="F143" s="231"/>
      <c r="G143" s="335"/>
    </row>
    <row r="144" spans="1:7" ht="25.5">
      <c r="A144" s="244" t="s">
        <v>482</v>
      </c>
      <c r="B144" s="250" t="s">
        <v>361</v>
      </c>
      <c r="C144" s="245">
        <v>200</v>
      </c>
      <c r="D144" s="247">
        <v>50000</v>
      </c>
      <c r="E144" s="360"/>
      <c r="F144" s="231"/>
      <c r="G144" s="335"/>
    </row>
    <row r="145" spans="1:7" ht="38.25">
      <c r="A145" s="253" t="s">
        <v>374</v>
      </c>
      <c r="B145" s="254" t="s">
        <v>371</v>
      </c>
      <c r="C145" s="297"/>
      <c r="D145" s="268">
        <v>614168.1</v>
      </c>
      <c r="E145" s="360"/>
      <c r="F145" s="231"/>
      <c r="G145" s="335"/>
    </row>
    <row r="146" spans="1:7" ht="25.5">
      <c r="A146" s="31" t="s">
        <v>372</v>
      </c>
      <c r="B146" s="250" t="s">
        <v>373</v>
      </c>
      <c r="C146" s="297"/>
      <c r="D146" s="268">
        <v>614168.1</v>
      </c>
      <c r="E146" s="360"/>
      <c r="F146" s="231"/>
      <c r="G146" s="335"/>
    </row>
    <row r="147" spans="1:7" ht="25.5">
      <c r="A147" s="244" t="s">
        <v>482</v>
      </c>
      <c r="B147" s="250" t="s">
        <v>373</v>
      </c>
      <c r="C147" s="297">
        <v>200</v>
      </c>
      <c r="D147" s="268">
        <v>614168.1</v>
      </c>
      <c r="E147" s="360"/>
      <c r="F147" s="231"/>
      <c r="G147" s="335"/>
    </row>
    <row r="148" spans="1:6" ht="38.25">
      <c r="A148" s="362" t="s">
        <v>313</v>
      </c>
      <c r="B148" s="363" t="s">
        <v>312</v>
      </c>
      <c r="C148" s="364" t="s">
        <v>99</v>
      </c>
      <c r="D148" s="365">
        <f>D149+D162</f>
        <v>1502654</v>
      </c>
      <c r="F148" s="231"/>
    </row>
    <row r="149" spans="1:6" ht="63.75" customHeight="1">
      <c r="A149" s="15" t="s">
        <v>526</v>
      </c>
      <c r="B149" s="254" t="s">
        <v>629</v>
      </c>
      <c r="C149" s="245" t="s">
        <v>99</v>
      </c>
      <c r="D149" s="243">
        <f>D150+D153+D159</f>
        <v>1427654</v>
      </c>
      <c r="F149" s="231"/>
    </row>
    <row r="150" spans="1:6" ht="25.5">
      <c r="A150" s="38" t="s">
        <v>628</v>
      </c>
      <c r="B150" s="250" t="s">
        <v>627</v>
      </c>
      <c r="C150" s="245"/>
      <c r="D150" s="243">
        <f>D151+D156</f>
        <v>905870</v>
      </c>
      <c r="F150" s="231"/>
    </row>
    <row r="151" spans="1:6" ht="12.75">
      <c r="A151" s="38" t="s">
        <v>626</v>
      </c>
      <c r="B151" s="250" t="s">
        <v>625</v>
      </c>
      <c r="C151" s="245"/>
      <c r="D151" s="243">
        <f>D152</f>
        <v>10000</v>
      </c>
      <c r="F151" s="231"/>
    </row>
    <row r="152" spans="1:6" ht="25.5">
      <c r="A152" s="244" t="s">
        <v>102</v>
      </c>
      <c r="B152" s="250" t="s">
        <v>625</v>
      </c>
      <c r="C152" s="245">
        <v>600</v>
      </c>
      <c r="D152" s="247">
        <v>10000</v>
      </c>
      <c r="F152" s="231"/>
    </row>
    <row r="153" spans="1:6" ht="12.75">
      <c r="A153" s="394" t="s">
        <v>297</v>
      </c>
      <c r="B153" s="612" t="s">
        <v>298</v>
      </c>
      <c r="C153" s="625"/>
      <c r="D153" s="247">
        <f>D154+D155</f>
        <v>500219</v>
      </c>
      <c r="F153" s="231"/>
    </row>
    <row r="154" spans="1:6" ht="12.75">
      <c r="A154" s="608" t="s">
        <v>93</v>
      </c>
      <c r="B154" s="612" t="s">
        <v>298</v>
      </c>
      <c r="C154" s="625">
        <v>300</v>
      </c>
      <c r="D154" s="247">
        <v>281983</v>
      </c>
      <c r="F154" s="231"/>
    </row>
    <row r="155" spans="1:6" ht="25.5">
      <c r="A155" s="608" t="s">
        <v>102</v>
      </c>
      <c r="B155" s="612" t="s">
        <v>298</v>
      </c>
      <c r="C155" s="625">
        <v>600</v>
      </c>
      <c r="D155" s="247">
        <v>218236</v>
      </c>
      <c r="F155" s="231"/>
    </row>
    <row r="156" spans="1:6" ht="25.5">
      <c r="A156" s="30" t="s">
        <v>131</v>
      </c>
      <c r="B156" s="250" t="s">
        <v>132</v>
      </c>
      <c r="C156" s="246"/>
      <c r="D156" s="243">
        <f>D157+D158</f>
        <v>895870</v>
      </c>
      <c r="F156" s="231"/>
    </row>
    <row r="157" spans="1:6" ht="12.75">
      <c r="A157" s="244" t="s">
        <v>93</v>
      </c>
      <c r="B157" s="250" t="s">
        <v>132</v>
      </c>
      <c r="C157" s="246">
        <v>300</v>
      </c>
      <c r="D157" s="247">
        <v>489326</v>
      </c>
      <c r="F157" s="231"/>
    </row>
    <row r="158" spans="1:6" ht="25.5">
      <c r="A158" s="244" t="s">
        <v>102</v>
      </c>
      <c r="B158" s="250" t="s">
        <v>132</v>
      </c>
      <c r="C158" s="246">
        <v>600</v>
      </c>
      <c r="D158" s="247">
        <v>406544</v>
      </c>
      <c r="F158" s="231"/>
    </row>
    <row r="159" spans="1:6" ht="38.25">
      <c r="A159" s="38" t="s">
        <v>72</v>
      </c>
      <c r="B159" s="250" t="s">
        <v>73</v>
      </c>
      <c r="C159" s="245"/>
      <c r="D159" s="243">
        <f>D160</f>
        <v>21565</v>
      </c>
      <c r="F159" s="231"/>
    </row>
    <row r="160" spans="1:6" ht="12.75">
      <c r="A160" s="38" t="s">
        <v>75</v>
      </c>
      <c r="B160" s="250" t="s">
        <v>74</v>
      </c>
      <c r="C160" s="245"/>
      <c r="D160" s="243">
        <f>D161</f>
        <v>21565</v>
      </c>
      <c r="F160" s="231"/>
    </row>
    <row r="161" spans="1:6" ht="25.5">
      <c r="A161" s="244" t="s">
        <v>482</v>
      </c>
      <c r="B161" s="250" t="s">
        <v>74</v>
      </c>
      <c r="C161" s="245">
        <v>200</v>
      </c>
      <c r="D161" s="247">
        <v>21565</v>
      </c>
      <c r="F161" s="231"/>
    </row>
    <row r="162" spans="1:7" ht="63.75">
      <c r="A162" s="253" t="s">
        <v>311</v>
      </c>
      <c r="B162" s="250" t="s">
        <v>418</v>
      </c>
      <c r="C162" s="248" t="s">
        <v>99</v>
      </c>
      <c r="D162" s="243">
        <f>D163</f>
        <v>75000</v>
      </c>
      <c r="E162" s="366"/>
      <c r="F162" s="231"/>
      <c r="G162" s="367"/>
    </row>
    <row r="163" spans="1:6" ht="51">
      <c r="A163" s="38" t="s">
        <v>417</v>
      </c>
      <c r="B163" s="250" t="s">
        <v>416</v>
      </c>
      <c r="C163" s="248"/>
      <c r="D163" s="243">
        <f>D164</f>
        <v>75000</v>
      </c>
      <c r="F163" s="231"/>
    </row>
    <row r="164" spans="1:6" ht="39" customHeight="1">
      <c r="A164" s="38" t="s">
        <v>415</v>
      </c>
      <c r="B164" s="250" t="s">
        <v>414</v>
      </c>
      <c r="C164" s="248"/>
      <c r="D164" s="243">
        <f>D165</f>
        <v>75000</v>
      </c>
      <c r="F164" s="231"/>
    </row>
    <row r="165" spans="1:6" ht="25.5">
      <c r="A165" s="301" t="s">
        <v>482</v>
      </c>
      <c r="B165" s="303" t="s">
        <v>414</v>
      </c>
      <c r="C165" s="302">
        <v>200</v>
      </c>
      <c r="D165" s="304">
        <v>75000</v>
      </c>
      <c r="F165" s="231"/>
    </row>
    <row r="166" spans="1:7" ht="51">
      <c r="A166" s="296" t="s">
        <v>479</v>
      </c>
      <c r="B166" s="368" t="s">
        <v>836</v>
      </c>
      <c r="C166" s="369" t="s">
        <v>99</v>
      </c>
      <c r="D166" s="370">
        <f>D167+D178</f>
        <v>7412475.0600000005</v>
      </c>
      <c r="E166" s="360"/>
      <c r="F166" s="231"/>
      <c r="G166" s="371"/>
    </row>
    <row r="167" spans="1:7" ht="63.75">
      <c r="A167" s="15" t="s">
        <v>530</v>
      </c>
      <c r="B167" s="254" t="s">
        <v>488</v>
      </c>
      <c r="C167" s="248" t="s">
        <v>99</v>
      </c>
      <c r="D167" s="243">
        <f>D168+D171</f>
        <v>6254882</v>
      </c>
      <c r="E167" s="334"/>
      <c r="F167" s="231"/>
      <c r="G167" s="335"/>
    </row>
    <row r="168" spans="1:6" ht="25.5">
      <c r="A168" s="34" t="s">
        <v>487</v>
      </c>
      <c r="B168" s="250" t="s">
        <v>486</v>
      </c>
      <c r="C168" s="248"/>
      <c r="D168" s="243">
        <f>D169</f>
        <v>1488252</v>
      </c>
      <c r="F168" s="231"/>
    </row>
    <row r="169" spans="1:6" ht="25.5">
      <c r="A169" s="38" t="s">
        <v>838</v>
      </c>
      <c r="B169" s="250" t="s">
        <v>485</v>
      </c>
      <c r="C169" s="248"/>
      <c r="D169" s="243">
        <f>D170</f>
        <v>1488252</v>
      </c>
      <c r="F169" s="231"/>
    </row>
    <row r="170" spans="1:6" ht="12.75">
      <c r="A170" s="244" t="s">
        <v>89</v>
      </c>
      <c r="B170" s="250" t="s">
        <v>485</v>
      </c>
      <c r="C170" s="245">
        <v>800</v>
      </c>
      <c r="D170" s="247">
        <v>1488252</v>
      </c>
      <c r="F170" s="231"/>
    </row>
    <row r="171" spans="1:6" ht="25.5">
      <c r="A171" s="34" t="s">
        <v>484</v>
      </c>
      <c r="B171" s="250" t="s">
        <v>420</v>
      </c>
      <c r="C171" s="248"/>
      <c r="D171" s="243">
        <f>D172+D174+D176</f>
        <v>4766630</v>
      </c>
      <c r="F171" s="231"/>
    </row>
    <row r="172" spans="1:6" ht="38.25">
      <c r="A172" s="394" t="s">
        <v>461</v>
      </c>
      <c r="B172" s="250" t="s">
        <v>354</v>
      </c>
      <c r="C172" s="255"/>
      <c r="D172" s="243">
        <v>4449640</v>
      </c>
      <c r="F172" s="231"/>
    </row>
    <row r="173" spans="1:6" ht="25.5">
      <c r="A173" s="244" t="s">
        <v>482</v>
      </c>
      <c r="B173" s="250" t="s">
        <v>354</v>
      </c>
      <c r="C173" s="397">
        <v>200</v>
      </c>
      <c r="D173" s="243">
        <v>4449640</v>
      </c>
      <c r="F173" s="231"/>
    </row>
    <row r="174" spans="1:6" ht="38.25">
      <c r="A174" s="394" t="s">
        <v>461</v>
      </c>
      <c r="B174" s="250" t="s">
        <v>462</v>
      </c>
      <c r="C174" s="255"/>
      <c r="D174" s="243">
        <v>44950</v>
      </c>
      <c r="F174" s="231"/>
    </row>
    <row r="175" spans="1:6" ht="25.5">
      <c r="A175" s="244" t="s">
        <v>482</v>
      </c>
      <c r="B175" s="250" t="s">
        <v>462</v>
      </c>
      <c r="C175" s="397">
        <v>200</v>
      </c>
      <c r="D175" s="243">
        <v>44950</v>
      </c>
      <c r="F175" s="231"/>
    </row>
    <row r="176" spans="1:6" ht="25.5">
      <c r="A176" s="38" t="s">
        <v>838</v>
      </c>
      <c r="B176" s="250" t="s">
        <v>491</v>
      </c>
      <c r="C176" s="245" t="s">
        <v>99</v>
      </c>
      <c r="D176" s="243">
        <f>D177</f>
        <v>272040</v>
      </c>
      <c r="F176" s="231"/>
    </row>
    <row r="177" spans="1:6" ht="25.5">
      <c r="A177" s="244" t="s">
        <v>482</v>
      </c>
      <c r="B177" s="250" t="s">
        <v>491</v>
      </c>
      <c r="C177" s="245">
        <v>200</v>
      </c>
      <c r="D177" s="247">
        <v>272040</v>
      </c>
      <c r="F177" s="231"/>
    </row>
    <row r="178" spans="1:6" ht="63.75">
      <c r="A178" s="29" t="s">
        <v>0</v>
      </c>
      <c r="B178" s="254" t="s">
        <v>837</v>
      </c>
      <c r="C178" s="245"/>
      <c r="D178" s="243">
        <f>D179</f>
        <v>1157593.06</v>
      </c>
      <c r="F178" s="231"/>
    </row>
    <row r="179" spans="1:6" ht="51">
      <c r="A179" s="34" t="s">
        <v>216</v>
      </c>
      <c r="B179" s="250" t="s">
        <v>1</v>
      </c>
      <c r="C179" s="245"/>
      <c r="D179" s="243">
        <f>D180+D182</f>
        <v>1157593.06</v>
      </c>
      <c r="F179" s="231"/>
    </row>
    <row r="180" spans="1:6" ht="25.5">
      <c r="A180" s="38" t="s">
        <v>32</v>
      </c>
      <c r="B180" s="250" t="s">
        <v>31</v>
      </c>
      <c r="C180" s="245"/>
      <c r="D180" s="243">
        <f>D181</f>
        <v>934593.06</v>
      </c>
      <c r="F180" s="231"/>
    </row>
    <row r="181" spans="1:6" ht="12.75">
      <c r="A181" s="256" t="s">
        <v>89</v>
      </c>
      <c r="B181" s="258" t="s">
        <v>31</v>
      </c>
      <c r="C181" s="257">
        <v>800</v>
      </c>
      <c r="D181" s="261">
        <v>934593.06</v>
      </c>
      <c r="F181" s="231"/>
    </row>
    <row r="182" spans="1:6" ht="12.75">
      <c r="A182" s="244" t="s">
        <v>582</v>
      </c>
      <c r="B182" s="265" t="s">
        <v>581</v>
      </c>
      <c r="C182" s="257"/>
      <c r="D182" s="261">
        <v>223000</v>
      </c>
      <c r="F182" s="231"/>
    </row>
    <row r="183" spans="1:6" ht="25.5">
      <c r="A183" s="244" t="s">
        <v>482</v>
      </c>
      <c r="B183" s="265" t="s">
        <v>581</v>
      </c>
      <c r="C183" s="257">
        <v>200</v>
      </c>
      <c r="D183" s="278">
        <v>223000</v>
      </c>
      <c r="F183" s="231"/>
    </row>
    <row r="184" spans="1:6" ht="51">
      <c r="A184" s="287" t="s">
        <v>931</v>
      </c>
      <c r="B184" s="238" t="s">
        <v>818</v>
      </c>
      <c r="C184" s="238"/>
      <c r="D184" s="273">
        <f>D185</f>
        <v>466000</v>
      </c>
      <c r="F184" s="231"/>
    </row>
    <row r="185" spans="1:6" ht="63.75">
      <c r="A185" s="253" t="s">
        <v>56</v>
      </c>
      <c r="B185" s="245" t="s">
        <v>819</v>
      </c>
      <c r="C185" s="245"/>
      <c r="D185" s="243">
        <f>D186+D192</f>
        <v>466000</v>
      </c>
      <c r="F185" s="231"/>
    </row>
    <row r="186" spans="1:6" ht="25.5">
      <c r="A186" s="244" t="s">
        <v>196</v>
      </c>
      <c r="B186" s="245" t="s">
        <v>454</v>
      </c>
      <c r="C186" s="245"/>
      <c r="D186" s="243">
        <f>D187+D190</f>
        <v>446000</v>
      </c>
      <c r="F186" s="231"/>
    </row>
    <row r="187" spans="1:6" ht="38.25">
      <c r="A187" s="244" t="s">
        <v>453</v>
      </c>
      <c r="B187" s="245" t="s">
        <v>901</v>
      </c>
      <c r="C187" s="245"/>
      <c r="D187" s="243">
        <f>SUM(D188:D189)</f>
        <v>296000</v>
      </c>
      <c r="F187" s="231"/>
    </row>
    <row r="188" spans="1:6" ht="51">
      <c r="A188" s="244" t="s">
        <v>104</v>
      </c>
      <c r="B188" s="245" t="s">
        <v>901</v>
      </c>
      <c r="C188" s="245">
        <v>100</v>
      </c>
      <c r="D188" s="247">
        <v>294350</v>
      </c>
      <c r="F188" s="231"/>
    </row>
    <row r="189" spans="1:6" ht="25.5">
      <c r="A189" s="244" t="s">
        <v>482</v>
      </c>
      <c r="B189" s="245" t="s">
        <v>901</v>
      </c>
      <c r="C189" s="245">
        <v>200</v>
      </c>
      <c r="D189" s="247">
        <v>1650</v>
      </c>
      <c r="F189" s="231"/>
    </row>
    <row r="190" spans="1:6" ht="24">
      <c r="A190" s="531" t="s">
        <v>586</v>
      </c>
      <c r="B190" s="245" t="s">
        <v>684</v>
      </c>
      <c r="C190" s="245"/>
      <c r="D190" s="395">
        <v>150000</v>
      </c>
      <c r="F190" s="231"/>
    </row>
    <row r="191" spans="1:6" ht="25.5">
      <c r="A191" s="392" t="s">
        <v>482</v>
      </c>
      <c r="B191" s="245" t="s">
        <v>684</v>
      </c>
      <c r="C191" s="245">
        <v>200</v>
      </c>
      <c r="D191" s="395">
        <v>150000</v>
      </c>
      <c r="F191" s="231"/>
    </row>
    <row r="192" spans="1:6" ht="25.5">
      <c r="A192" s="244" t="s">
        <v>197</v>
      </c>
      <c r="B192" s="245" t="s">
        <v>590</v>
      </c>
      <c r="C192" s="245"/>
      <c r="D192" s="243">
        <f>D193</f>
        <v>20000</v>
      </c>
      <c r="F192" s="231"/>
    </row>
    <row r="193" spans="1:6" ht="24">
      <c r="A193" s="28" t="s">
        <v>586</v>
      </c>
      <c r="B193" s="245" t="s">
        <v>587</v>
      </c>
      <c r="C193" s="245"/>
      <c r="D193" s="243">
        <f>D194</f>
        <v>20000</v>
      </c>
      <c r="F193" s="231"/>
    </row>
    <row r="194" spans="1:6" ht="25.5">
      <c r="A194" s="256" t="s">
        <v>482</v>
      </c>
      <c r="B194" s="257" t="s">
        <v>587</v>
      </c>
      <c r="C194" s="372">
        <v>200</v>
      </c>
      <c r="D194" s="261">
        <v>20000</v>
      </c>
      <c r="F194" s="231"/>
    </row>
    <row r="195" spans="1:6" ht="51">
      <c r="A195" s="296" t="s">
        <v>57</v>
      </c>
      <c r="B195" s="368" t="s">
        <v>825</v>
      </c>
      <c r="C195" s="316" t="s">
        <v>99</v>
      </c>
      <c r="D195" s="370">
        <f>D196+D202</f>
        <v>2037680.5</v>
      </c>
      <c r="F195" s="231"/>
    </row>
    <row r="196" spans="1:6" ht="67.5" customHeight="1">
      <c r="A196" s="29" t="s">
        <v>455</v>
      </c>
      <c r="B196" s="250" t="s">
        <v>826</v>
      </c>
      <c r="C196" s="245"/>
      <c r="D196" s="243">
        <f>D197</f>
        <v>1997680.5</v>
      </c>
      <c r="F196" s="231"/>
    </row>
    <row r="197" spans="1:6" ht="51">
      <c r="A197" s="33" t="s">
        <v>429</v>
      </c>
      <c r="B197" s="250" t="s">
        <v>831</v>
      </c>
      <c r="C197" s="245"/>
      <c r="D197" s="243">
        <f>D198</f>
        <v>1997680.5</v>
      </c>
      <c r="F197" s="231"/>
    </row>
    <row r="198" spans="1:6" ht="25.5">
      <c r="A198" s="246" t="s">
        <v>126</v>
      </c>
      <c r="B198" s="250" t="s">
        <v>832</v>
      </c>
      <c r="C198" s="245" t="s">
        <v>99</v>
      </c>
      <c r="D198" s="243">
        <f>SUM(D199:D201)</f>
        <v>1997680.5</v>
      </c>
      <c r="F198" s="231"/>
    </row>
    <row r="199" spans="1:6" ht="51">
      <c r="A199" s="244" t="s">
        <v>104</v>
      </c>
      <c r="B199" s="250" t="s">
        <v>832</v>
      </c>
      <c r="C199" s="245" t="s">
        <v>27</v>
      </c>
      <c r="D199" s="247">
        <f>1820650+800</f>
        <v>1821450</v>
      </c>
      <c r="F199" s="231"/>
    </row>
    <row r="200" spans="1:6" ht="25.5">
      <c r="A200" s="244" t="s">
        <v>482</v>
      </c>
      <c r="B200" s="250" t="s">
        <v>832</v>
      </c>
      <c r="C200" s="245" t="s">
        <v>600</v>
      </c>
      <c r="D200" s="247">
        <v>174965.5</v>
      </c>
      <c r="F200" s="231"/>
    </row>
    <row r="201" spans="1:6" ht="12.75">
      <c r="A201" s="373" t="s">
        <v>89</v>
      </c>
      <c r="B201" s="374" t="s">
        <v>832</v>
      </c>
      <c r="C201" s="372" t="s">
        <v>90</v>
      </c>
      <c r="D201" s="332">
        <v>1265</v>
      </c>
      <c r="F201" s="231"/>
    </row>
    <row r="202" spans="1:6" ht="63.75">
      <c r="A202" s="614" t="s">
        <v>200</v>
      </c>
      <c r="B202" s="250" t="s">
        <v>201</v>
      </c>
      <c r="C202" s="615"/>
      <c r="D202" s="395">
        <v>40000</v>
      </c>
      <c r="F202" s="231"/>
    </row>
    <row r="203" spans="1:6" ht="38.25">
      <c r="A203" s="22" t="s">
        <v>202</v>
      </c>
      <c r="B203" s="250" t="s">
        <v>203</v>
      </c>
      <c r="C203" s="615"/>
      <c r="D203" s="395">
        <v>40000</v>
      </c>
      <c r="F203" s="231"/>
    </row>
    <row r="204" spans="1:6" ht="25.5">
      <c r="A204" s="617" t="s">
        <v>204</v>
      </c>
      <c r="B204" s="250" t="s">
        <v>205</v>
      </c>
      <c r="C204" s="615"/>
      <c r="D204" s="395">
        <v>40000</v>
      </c>
      <c r="F204" s="231"/>
    </row>
    <row r="205" spans="1:6" ht="25.5">
      <c r="A205" s="244" t="s">
        <v>482</v>
      </c>
      <c r="B205" s="250" t="s">
        <v>205</v>
      </c>
      <c r="C205" s="234">
        <v>200</v>
      </c>
      <c r="D205" s="278">
        <v>40000</v>
      </c>
      <c r="F205" s="231"/>
    </row>
    <row r="206" spans="1:6" ht="25.5">
      <c r="A206" s="287" t="s">
        <v>711</v>
      </c>
      <c r="B206" s="333" t="s">
        <v>440</v>
      </c>
      <c r="C206" s="375" t="s">
        <v>99</v>
      </c>
      <c r="D206" s="273">
        <f>D207+D211</f>
        <v>4020733</v>
      </c>
      <c r="F206" s="231"/>
    </row>
    <row r="207" spans="1:6" ht="38.25">
      <c r="A207" s="253" t="s">
        <v>272</v>
      </c>
      <c r="B207" s="250" t="s">
        <v>670</v>
      </c>
      <c r="C207" s="248" t="s">
        <v>99</v>
      </c>
      <c r="D207" s="243">
        <f>D208</f>
        <v>44000</v>
      </c>
      <c r="F207" s="231"/>
    </row>
    <row r="208" spans="1:6" ht="38.25">
      <c r="A208" s="33" t="s">
        <v>669</v>
      </c>
      <c r="B208" s="250" t="s">
        <v>671</v>
      </c>
      <c r="C208" s="248"/>
      <c r="D208" s="243">
        <f>D209</f>
        <v>44000</v>
      </c>
      <c r="F208" s="231"/>
    </row>
    <row r="209" spans="1:6" ht="12.75">
      <c r="A209" s="38" t="s">
        <v>672</v>
      </c>
      <c r="B209" s="250" t="s">
        <v>673</v>
      </c>
      <c r="C209" s="248" t="s">
        <v>99</v>
      </c>
      <c r="D209" s="243">
        <f>D210</f>
        <v>44000</v>
      </c>
      <c r="F209" s="231"/>
    </row>
    <row r="210" spans="1:6" ht="12.75">
      <c r="A210" s="244" t="s">
        <v>125</v>
      </c>
      <c r="B210" s="250" t="s">
        <v>673</v>
      </c>
      <c r="C210" s="245" t="s">
        <v>94</v>
      </c>
      <c r="D210" s="247">
        <v>44000</v>
      </c>
      <c r="F210" s="231"/>
    </row>
    <row r="211" spans="1:6" ht="38.25">
      <c r="A211" s="253" t="s">
        <v>713</v>
      </c>
      <c r="B211" s="245" t="s">
        <v>441</v>
      </c>
      <c r="C211" s="245" t="s">
        <v>99</v>
      </c>
      <c r="D211" s="243">
        <f>D212</f>
        <v>3976733</v>
      </c>
      <c r="F211" s="231"/>
    </row>
    <row r="212" spans="1:6" ht="38.25">
      <c r="A212" s="33" t="s">
        <v>753</v>
      </c>
      <c r="B212" s="245" t="s">
        <v>644</v>
      </c>
      <c r="C212" s="245"/>
      <c r="D212" s="243">
        <f>D213</f>
        <v>3976733</v>
      </c>
      <c r="F212" s="231"/>
    </row>
    <row r="213" spans="1:6" ht="25.5">
      <c r="A213" s="246" t="s">
        <v>514</v>
      </c>
      <c r="B213" s="245" t="s">
        <v>442</v>
      </c>
      <c r="C213" s="245" t="s">
        <v>99</v>
      </c>
      <c r="D213" s="243">
        <f>SUM(D214:D215)</f>
        <v>3976733</v>
      </c>
      <c r="F213" s="231"/>
    </row>
    <row r="214" spans="1:6" ht="51">
      <c r="A214" s="244" t="s">
        <v>104</v>
      </c>
      <c r="B214" s="245" t="s">
        <v>442</v>
      </c>
      <c r="C214" s="245">
        <v>100</v>
      </c>
      <c r="D214" s="247">
        <v>3765303</v>
      </c>
      <c r="F214" s="231"/>
    </row>
    <row r="215" spans="1:6" ht="25.5">
      <c r="A215" s="244" t="s">
        <v>482</v>
      </c>
      <c r="B215" s="245" t="s">
        <v>442</v>
      </c>
      <c r="C215" s="245" t="s">
        <v>600</v>
      </c>
      <c r="D215" s="247">
        <v>211430</v>
      </c>
      <c r="F215" s="231"/>
    </row>
    <row r="216" spans="1:6" ht="25.5">
      <c r="A216" s="341" t="s">
        <v>449</v>
      </c>
      <c r="B216" s="342" t="s">
        <v>827</v>
      </c>
      <c r="C216" s="343" t="s">
        <v>99</v>
      </c>
      <c r="D216" s="344">
        <f>D217+D221</f>
        <v>380154.9</v>
      </c>
      <c r="F216" s="231"/>
    </row>
    <row r="217" spans="1:6" ht="38.25">
      <c r="A217" s="357" t="s">
        <v>18</v>
      </c>
      <c r="B217" s="346" t="s">
        <v>828</v>
      </c>
      <c r="C217" s="351"/>
      <c r="D217" s="348">
        <f>D218</f>
        <v>84154.9</v>
      </c>
      <c r="F217" s="231"/>
    </row>
    <row r="218" spans="1:6" ht="38.25">
      <c r="A218" s="125" t="s">
        <v>531</v>
      </c>
      <c r="B218" s="346" t="s">
        <v>829</v>
      </c>
      <c r="C218" s="351"/>
      <c r="D218" s="348">
        <f>D219</f>
        <v>84154.9</v>
      </c>
      <c r="F218" s="231"/>
    </row>
    <row r="219" spans="1:6" ht="25.5">
      <c r="A219" s="350" t="s">
        <v>448</v>
      </c>
      <c r="B219" s="346" t="s">
        <v>830</v>
      </c>
      <c r="C219" s="351"/>
      <c r="D219" s="348">
        <f>D220</f>
        <v>84154.9</v>
      </c>
      <c r="F219" s="231"/>
    </row>
    <row r="220" spans="1:6" ht="25.5">
      <c r="A220" s="350" t="s">
        <v>102</v>
      </c>
      <c r="B220" s="346" t="s">
        <v>830</v>
      </c>
      <c r="C220" s="351">
        <v>600</v>
      </c>
      <c r="D220" s="352">
        <v>84154.9</v>
      </c>
      <c r="F220" s="231"/>
    </row>
    <row r="221" spans="1:6" ht="38.25">
      <c r="A221" s="357" t="s">
        <v>20</v>
      </c>
      <c r="B221" s="346" t="s">
        <v>833</v>
      </c>
      <c r="C221" s="351"/>
      <c r="D221" s="348">
        <f>D222</f>
        <v>296000</v>
      </c>
      <c r="F221" s="231"/>
    </row>
    <row r="222" spans="1:6" ht="38.25">
      <c r="A222" s="126" t="s">
        <v>903</v>
      </c>
      <c r="B222" s="346" t="s">
        <v>834</v>
      </c>
      <c r="C222" s="351"/>
      <c r="D222" s="348">
        <f>D223</f>
        <v>296000</v>
      </c>
      <c r="F222" s="231"/>
    </row>
    <row r="223" spans="1:6" ht="25.5">
      <c r="A223" s="349" t="s">
        <v>469</v>
      </c>
      <c r="B223" s="346" t="s">
        <v>835</v>
      </c>
      <c r="C223" s="347" t="s">
        <v>99</v>
      </c>
      <c r="D223" s="348">
        <f>SUM(D224:D224)</f>
        <v>296000</v>
      </c>
      <c r="F223" s="231"/>
    </row>
    <row r="224" spans="1:6" ht="51">
      <c r="A224" s="350" t="s">
        <v>104</v>
      </c>
      <c r="B224" s="346" t="s">
        <v>835</v>
      </c>
      <c r="C224" s="351">
        <v>100</v>
      </c>
      <c r="D224" s="352">
        <v>296000</v>
      </c>
      <c r="F224" s="231"/>
    </row>
    <row r="225" spans="1:6" ht="38.25">
      <c r="A225" s="362" t="s">
        <v>478</v>
      </c>
      <c r="B225" s="363" t="s">
        <v>397</v>
      </c>
      <c r="C225" s="364"/>
      <c r="D225" s="365">
        <f>D226</f>
        <v>9612113</v>
      </c>
      <c r="F225" s="231"/>
    </row>
    <row r="226" spans="1:6" ht="18.75" customHeight="1">
      <c r="A226" s="31" t="s">
        <v>690</v>
      </c>
      <c r="B226" s="250" t="s">
        <v>689</v>
      </c>
      <c r="C226" s="245"/>
      <c r="D226" s="243">
        <f>D227</f>
        <v>9612113</v>
      </c>
      <c r="F226" s="231"/>
    </row>
    <row r="227" spans="1:6" ht="16.5" customHeight="1">
      <c r="A227" s="405" t="s">
        <v>692</v>
      </c>
      <c r="B227" s="250" t="s">
        <v>691</v>
      </c>
      <c r="C227" s="245"/>
      <c r="D227" s="243">
        <f>D228</f>
        <v>9612113</v>
      </c>
      <c r="F227" s="231"/>
    </row>
    <row r="228" spans="1:6" ht="25.5">
      <c r="A228" s="244" t="s">
        <v>482</v>
      </c>
      <c r="B228" s="250" t="s">
        <v>691</v>
      </c>
      <c r="C228" s="245">
        <v>200</v>
      </c>
      <c r="D228" s="247">
        <v>9612113</v>
      </c>
      <c r="F228" s="231"/>
    </row>
    <row r="229" spans="1:6" ht="38.25">
      <c r="A229" s="287" t="s">
        <v>878</v>
      </c>
      <c r="B229" s="238" t="s">
        <v>494</v>
      </c>
      <c r="C229" s="238"/>
      <c r="D229" s="286">
        <f>D230</f>
        <v>30000</v>
      </c>
      <c r="F229" s="231"/>
    </row>
    <row r="230" spans="1:6" ht="51">
      <c r="A230" s="253" t="s">
        <v>879</v>
      </c>
      <c r="B230" s="245" t="s">
        <v>495</v>
      </c>
      <c r="C230" s="245"/>
      <c r="D230" s="243">
        <f>D231</f>
        <v>30000</v>
      </c>
      <c r="F230" s="231"/>
    </row>
    <row r="231" spans="1:6" ht="25.5">
      <c r="A231" s="244" t="s">
        <v>664</v>
      </c>
      <c r="B231" s="245" t="s">
        <v>665</v>
      </c>
      <c r="C231" s="245"/>
      <c r="D231" s="243">
        <f>D232</f>
        <v>30000</v>
      </c>
      <c r="F231" s="231"/>
    </row>
    <row r="232" spans="1:6" ht="25.5">
      <c r="A232" s="244" t="s">
        <v>667</v>
      </c>
      <c r="B232" s="245" t="s">
        <v>666</v>
      </c>
      <c r="C232" s="245"/>
      <c r="D232" s="243">
        <f>D233</f>
        <v>30000</v>
      </c>
      <c r="F232" s="231"/>
    </row>
    <row r="233" spans="1:6" ht="25.5">
      <c r="A233" s="301" t="s">
        <v>482</v>
      </c>
      <c r="B233" s="302" t="s">
        <v>666</v>
      </c>
      <c r="C233" s="302">
        <v>200</v>
      </c>
      <c r="D233" s="304">
        <v>30000</v>
      </c>
      <c r="F233" s="231"/>
    </row>
    <row r="234" spans="1:6" ht="25.5">
      <c r="A234" s="362" t="s">
        <v>17</v>
      </c>
      <c r="B234" s="364" t="s">
        <v>433</v>
      </c>
      <c r="C234" s="364" t="s">
        <v>99</v>
      </c>
      <c r="D234" s="365">
        <f>D235</f>
        <v>1217683</v>
      </c>
      <c r="F234" s="231"/>
    </row>
    <row r="235" spans="1:6" ht="12.75">
      <c r="A235" s="244" t="s">
        <v>228</v>
      </c>
      <c r="B235" s="245" t="s">
        <v>434</v>
      </c>
      <c r="C235" s="245" t="s">
        <v>99</v>
      </c>
      <c r="D235" s="243">
        <f>D236</f>
        <v>1217683</v>
      </c>
      <c r="F235" s="231"/>
    </row>
    <row r="236" spans="1:6" ht="25.5">
      <c r="A236" s="246" t="s">
        <v>514</v>
      </c>
      <c r="B236" s="245" t="s">
        <v>435</v>
      </c>
      <c r="C236" s="245" t="s">
        <v>99</v>
      </c>
      <c r="D236" s="243">
        <f>D237</f>
        <v>1217683</v>
      </c>
      <c r="F236" s="231"/>
    </row>
    <row r="237" spans="1:6" ht="51">
      <c r="A237" s="301" t="s">
        <v>104</v>
      </c>
      <c r="B237" s="302" t="s">
        <v>435</v>
      </c>
      <c r="C237" s="302" t="s">
        <v>27</v>
      </c>
      <c r="D237" s="247">
        <v>1217683</v>
      </c>
      <c r="F237" s="231"/>
    </row>
    <row r="238" spans="1:7" ht="12.75">
      <c r="A238" s="362" t="s">
        <v>467</v>
      </c>
      <c r="B238" s="364" t="s">
        <v>436</v>
      </c>
      <c r="C238" s="364" t="s">
        <v>99</v>
      </c>
      <c r="D238" s="365">
        <f>D239</f>
        <v>10953623</v>
      </c>
      <c r="E238" s="376"/>
      <c r="F238" s="231"/>
      <c r="G238" s="335"/>
    </row>
    <row r="239" spans="1:6" ht="12.75">
      <c r="A239" s="244" t="s">
        <v>473</v>
      </c>
      <c r="B239" s="245" t="s">
        <v>437</v>
      </c>
      <c r="C239" s="245" t="s">
        <v>99</v>
      </c>
      <c r="D239" s="243">
        <f>D240+D243</f>
        <v>10953623</v>
      </c>
      <c r="F239" s="231"/>
    </row>
    <row r="240" spans="1:6" ht="38.25">
      <c r="A240" s="244" t="s">
        <v>610</v>
      </c>
      <c r="B240" s="245" t="s">
        <v>438</v>
      </c>
      <c r="C240" s="245"/>
      <c r="D240" s="243">
        <f>SUM(D241:D242)</f>
        <v>296000</v>
      </c>
      <c r="F240" s="231"/>
    </row>
    <row r="241" spans="1:6" ht="51">
      <c r="A241" s="244" t="s">
        <v>104</v>
      </c>
      <c r="B241" s="245" t="s">
        <v>438</v>
      </c>
      <c r="C241" s="245">
        <v>100</v>
      </c>
      <c r="D241" s="247">
        <v>285000</v>
      </c>
      <c r="F241" s="231"/>
    </row>
    <row r="242" spans="1:6" ht="25.5">
      <c r="A242" s="244" t="s">
        <v>482</v>
      </c>
      <c r="B242" s="245" t="s">
        <v>438</v>
      </c>
      <c r="C242" s="245">
        <v>200</v>
      </c>
      <c r="D242" s="247">
        <v>11000</v>
      </c>
      <c r="F242" s="231"/>
    </row>
    <row r="243" spans="1:6" ht="25.5">
      <c r="A243" s="246" t="s">
        <v>514</v>
      </c>
      <c r="B243" s="245" t="s">
        <v>439</v>
      </c>
      <c r="C243" s="245" t="s">
        <v>99</v>
      </c>
      <c r="D243" s="243">
        <f>SUM(D244:D246)</f>
        <v>10657623</v>
      </c>
      <c r="F243" s="231"/>
    </row>
    <row r="244" spans="1:6" ht="51">
      <c r="A244" s="244" t="s">
        <v>104</v>
      </c>
      <c r="B244" s="245" t="s">
        <v>439</v>
      </c>
      <c r="C244" s="245">
        <v>100</v>
      </c>
      <c r="D244" s="247">
        <v>9736676</v>
      </c>
      <c r="F244" s="231"/>
    </row>
    <row r="245" spans="1:6" ht="25.5">
      <c r="A245" s="244" t="s">
        <v>482</v>
      </c>
      <c r="B245" s="245" t="s">
        <v>439</v>
      </c>
      <c r="C245" s="245">
        <v>200</v>
      </c>
      <c r="D245" s="247">
        <v>786632</v>
      </c>
      <c r="F245" s="231"/>
    </row>
    <row r="246" spans="1:6" ht="12.75">
      <c r="A246" s="301" t="s">
        <v>89</v>
      </c>
      <c r="B246" s="302" t="s">
        <v>439</v>
      </c>
      <c r="C246" s="302">
        <v>800</v>
      </c>
      <c r="D246" s="304">
        <v>134315</v>
      </c>
      <c r="F246" s="231"/>
    </row>
    <row r="247" spans="1:6" ht="25.5">
      <c r="A247" s="341" t="s">
        <v>192</v>
      </c>
      <c r="B247" s="342" t="s">
        <v>443</v>
      </c>
      <c r="C247" s="343" t="s">
        <v>99</v>
      </c>
      <c r="D247" s="344">
        <f>D248+D251</f>
        <v>927689</v>
      </c>
      <c r="F247" s="231"/>
    </row>
    <row r="248" spans="1:6" ht="25.5">
      <c r="A248" s="357" t="s">
        <v>193</v>
      </c>
      <c r="B248" s="358" t="s">
        <v>444</v>
      </c>
      <c r="C248" s="351" t="s">
        <v>99</v>
      </c>
      <c r="D248" s="348">
        <f>D249</f>
        <v>591433.54</v>
      </c>
      <c r="F248" s="231"/>
    </row>
    <row r="249" spans="1:6" ht="25.5">
      <c r="A249" s="349" t="s">
        <v>514</v>
      </c>
      <c r="B249" s="346" t="s">
        <v>445</v>
      </c>
      <c r="C249" s="351"/>
      <c r="D249" s="348">
        <f>SUM(D250:D250)</f>
        <v>591433.54</v>
      </c>
      <c r="F249" s="231"/>
    </row>
    <row r="250" spans="1:6" ht="51">
      <c r="A250" s="350" t="s">
        <v>104</v>
      </c>
      <c r="B250" s="346" t="s">
        <v>445</v>
      </c>
      <c r="C250" s="351">
        <v>100</v>
      </c>
      <c r="D250" s="348">
        <v>591433.54</v>
      </c>
      <c r="F250" s="231"/>
    </row>
    <row r="251" spans="1:6" ht="12.75">
      <c r="A251" s="350" t="s">
        <v>847</v>
      </c>
      <c r="B251" s="358" t="s">
        <v>846</v>
      </c>
      <c r="C251" s="351"/>
      <c r="D251" s="348">
        <f>D252</f>
        <v>336255.46</v>
      </c>
      <c r="F251" s="231"/>
    </row>
    <row r="252" spans="1:6" ht="25.5">
      <c r="A252" s="349" t="s">
        <v>514</v>
      </c>
      <c r="B252" s="346" t="s">
        <v>845</v>
      </c>
      <c r="C252" s="351"/>
      <c r="D252" s="348">
        <f>SUM(D253:D254)</f>
        <v>336255.46</v>
      </c>
      <c r="F252" s="231"/>
    </row>
    <row r="253" spans="1:6" ht="51">
      <c r="A253" s="350" t="s">
        <v>104</v>
      </c>
      <c r="B253" s="346" t="s">
        <v>845</v>
      </c>
      <c r="C253" s="351">
        <v>100</v>
      </c>
      <c r="D253" s="352">
        <v>325255.46</v>
      </c>
      <c r="F253" s="231"/>
    </row>
    <row r="254" spans="1:6" ht="25.5">
      <c r="A254" s="350" t="s">
        <v>482</v>
      </c>
      <c r="B254" s="346" t="s">
        <v>845</v>
      </c>
      <c r="C254" s="351">
        <v>200</v>
      </c>
      <c r="D254" s="352">
        <v>11000</v>
      </c>
      <c r="F254" s="231"/>
    </row>
    <row r="255" spans="1:6" ht="25.5">
      <c r="A255" s="362" t="s">
        <v>537</v>
      </c>
      <c r="B255" s="363" t="s">
        <v>536</v>
      </c>
      <c r="C255" s="377" t="s">
        <v>99</v>
      </c>
      <c r="D255" s="365">
        <f>D256</f>
        <v>133700</v>
      </c>
      <c r="F255" s="231"/>
    </row>
    <row r="256" spans="1:6" ht="12.75">
      <c r="A256" s="244" t="s">
        <v>535</v>
      </c>
      <c r="B256" s="250" t="s">
        <v>534</v>
      </c>
      <c r="C256" s="248"/>
      <c r="D256" s="243">
        <f>D257+D259</f>
        <v>133700</v>
      </c>
      <c r="F256" s="231"/>
    </row>
    <row r="257" spans="1:6" ht="25.5">
      <c r="A257" s="246" t="s">
        <v>843</v>
      </c>
      <c r="B257" s="250" t="s">
        <v>497</v>
      </c>
      <c r="C257" s="245"/>
      <c r="D257" s="243">
        <v>61500</v>
      </c>
      <c r="F257" s="231"/>
    </row>
    <row r="258" spans="1:6" ht="12.75">
      <c r="A258" s="244" t="s">
        <v>89</v>
      </c>
      <c r="B258" s="250" t="s">
        <v>497</v>
      </c>
      <c r="C258" s="245">
        <v>800</v>
      </c>
      <c r="D258" s="243">
        <v>61500</v>
      </c>
      <c r="F258" s="231"/>
    </row>
    <row r="259" spans="1:6" ht="25.5">
      <c r="A259" s="38" t="s">
        <v>533</v>
      </c>
      <c r="B259" s="250" t="s">
        <v>532</v>
      </c>
      <c r="C259" s="248" t="s">
        <v>99</v>
      </c>
      <c r="D259" s="243">
        <f>D260</f>
        <v>72200</v>
      </c>
      <c r="F259" s="231"/>
    </row>
    <row r="260" spans="1:6" ht="25.5">
      <c r="A260" s="301" t="s">
        <v>103</v>
      </c>
      <c r="B260" s="303" t="s">
        <v>532</v>
      </c>
      <c r="C260" s="302">
        <v>200</v>
      </c>
      <c r="D260" s="304">
        <v>72200</v>
      </c>
      <c r="F260" s="231"/>
    </row>
    <row r="261" spans="1:6" ht="25.5">
      <c r="A261" s="341" t="s">
        <v>391</v>
      </c>
      <c r="B261" s="342" t="s">
        <v>820</v>
      </c>
      <c r="C261" s="343"/>
      <c r="D261" s="344">
        <f>D262</f>
        <v>20877273</v>
      </c>
      <c r="F261" s="231"/>
    </row>
    <row r="262" spans="1:6" ht="12.75">
      <c r="A262" s="357" t="s">
        <v>392</v>
      </c>
      <c r="B262" s="358" t="s">
        <v>822</v>
      </c>
      <c r="C262" s="351"/>
      <c r="D262" s="348">
        <f>D263+D265+D268+D270+D274+D277+D279</f>
        <v>20877273</v>
      </c>
      <c r="F262" s="231"/>
    </row>
    <row r="263" spans="1:6" ht="25.5">
      <c r="A263" s="32" t="s">
        <v>213</v>
      </c>
      <c r="B263" s="346" t="s">
        <v>853</v>
      </c>
      <c r="C263" s="351"/>
      <c r="D263" s="348">
        <f>D264</f>
        <v>986911</v>
      </c>
      <c r="F263" s="231"/>
    </row>
    <row r="264" spans="1:6" ht="25.5">
      <c r="A264" s="350" t="s">
        <v>103</v>
      </c>
      <c r="B264" s="346" t="s">
        <v>853</v>
      </c>
      <c r="C264" s="351">
        <v>200</v>
      </c>
      <c r="D264" s="352">
        <v>986911</v>
      </c>
      <c r="F264" s="231"/>
    </row>
    <row r="265" spans="1:6" ht="51">
      <c r="A265" s="32" t="s">
        <v>198</v>
      </c>
      <c r="B265" s="346" t="s">
        <v>464</v>
      </c>
      <c r="C265" s="346"/>
      <c r="D265" s="348">
        <f>D266+D267</f>
        <v>148000</v>
      </c>
      <c r="F265" s="231"/>
    </row>
    <row r="266" spans="1:6" ht="51">
      <c r="A266" s="350" t="s">
        <v>104</v>
      </c>
      <c r="B266" s="346" t="s">
        <v>464</v>
      </c>
      <c r="C266" s="346">
        <v>100</v>
      </c>
      <c r="D266" s="352">
        <v>126900</v>
      </c>
      <c r="F266" s="231"/>
    </row>
    <row r="267" spans="1:7" ht="25.5">
      <c r="A267" s="350" t="s">
        <v>103</v>
      </c>
      <c r="B267" s="346" t="s">
        <v>464</v>
      </c>
      <c r="C267" s="346">
        <v>200</v>
      </c>
      <c r="D267" s="352">
        <v>21100</v>
      </c>
      <c r="E267" s="336"/>
      <c r="F267" s="231"/>
      <c r="G267" s="335"/>
    </row>
    <row r="268" spans="1:7" ht="38.25">
      <c r="A268" s="613" t="s">
        <v>459</v>
      </c>
      <c r="B268" s="612" t="s">
        <v>460</v>
      </c>
      <c r="C268" s="609"/>
      <c r="D268" s="352">
        <v>9720</v>
      </c>
      <c r="E268" s="336"/>
      <c r="F268" s="231"/>
      <c r="G268" s="335"/>
    </row>
    <row r="269" spans="1:7" ht="25.5">
      <c r="A269" s="608" t="s">
        <v>482</v>
      </c>
      <c r="B269" s="612" t="s">
        <v>460</v>
      </c>
      <c r="C269" s="609">
        <v>200</v>
      </c>
      <c r="D269" s="352">
        <v>9720</v>
      </c>
      <c r="E269" s="336"/>
      <c r="F269" s="231"/>
      <c r="G269" s="335"/>
    </row>
    <row r="270" spans="1:6" ht="25.5">
      <c r="A270" s="349" t="s">
        <v>126</v>
      </c>
      <c r="B270" s="346" t="s">
        <v>823</v>
      </c>
      <c r="C270" s="347" t="s">
        <v>99</v>
      </c>
      <c r="D270" s="348">
        <f>SUM(D271:D273)</f>
        <v>17013755</v>
      </c>
      <c r="F270" s="231"/>
    </row>
    <row r="271" spans="1:6" ht="51">
      <c r="A271" s="350" t="s">
        <v>104</v>
      </c>
      <c r="B271" s="346" t="s">
        <v>823</v>
      </c>
      <c r="C271" s="351" t="s">
        <v>27</v>
      </c>
      <c r="D271" s="352">
        <v>16441716</v>
      </c>
      <c r="F271" s="231"/>
    </row>
    <row r="272" spans="1:6" ht="25.5">
      <c r="A272" s="350" t="s">
        <v>482</v>
      </c>
      <c r="B272" s="346" t="s">
        <v>823</v>
      </c>
      <c r="C272" s="351" t="s">
        <v>600</v>
      </c>
      <c r="D272" s="352">
        <v>551200</v>
      </c>
      <c r="F272" s="231"/>
    </row>
    <row r="273" spans="1:6" ht="12.75">
      <c r="A273" s="350" t="s">
        <v>89</v>
      </c>
      <c r="B273" s="346" t="s">
        <v>823</v>
      </c>
      <c r="C273" s="351" t="s">
        <v>90</v>
      </c>
      <c r="D273" s="352">
        <v>20839</v>
      </c>
      <c r="F273" s="231"/>
    </row>
    <row r="274" spans="1:6" ht="25.5">
      <c r="A274" s="246" t="s">
        <v>843</v>
      </c>
      <c r="B274" s="250" t="s">
        <v>540</v>
      </c>
      <c r="C274" s="245"/>
      <c r="D274" s="247">
        <f>D275+D276</f>
        <v>2098887</v>
      </c>
      <c r="F274" s="231"/>
    </row>
    <row r="275" spans="1:6" ht="12.75">
      <c r="A275" s="256" t="s">
        <v>93</v>
      </c>
      <c r="B275" s="250" t="s">
        <v>540</v>
      </c>
      <c r="C275" s="245">
        <v>300</v>
      </c>
      <c r="D275" s="247">
        <v>5000</v>
      </c>
      <c r="F275" s="231"/>
    </row>
    <row r="276" spans="1:6" ht="12.75">
      <c r="A276" s="244" t="s">
        <v>89</v>
      </c>
      <c r="B276" s="250" t="s">
        <v>540</v>
      </c>
      <c r="C276" s="245">
        <v>800</v>
      </c>
      <c r="D276" s="247">
        <v>2093887</v>
      </c>
      <c r="F276" s="231"/>
    </row>
    <row r="277" spans="1:6" ht="25.5">
      <c r="A277" s="350" t="s">
        <v>396</v>
      </c>
      <c r="B277" s="346" t="s">
        <v>395</v>
      </c>
      <c r="C277" s="351"/>
      <c r="D277" s="348">
        <f>D278</f>
        <v>320000</v>
      </c>
      <c r="F277" s="231"/>
    </row>
    <row r="278" spans="1:6" ht="25.5">
      <c r="A278" s="350" t="s">
        <v>482</v>
      </c>
      <c r="B278" s="346" t="s">
        <v>395</v>
      </c>
      <c r="C278" s="351">
        <v>200</v>
      </c>
      <c r="D278" s="352">
        <v>320000</v>
      </c>
      <c r="F278" s="231"/>
    </row>
    <row r="279" spans="1:6" ht="25.5">
      <c r="A279" s="349" t="s">
        <v>914</v>
      </c>
      <c r="B279" s="346" t="s">
        <v>824</v>
      </c>
      <c r="C279" s="347" t="s">
        <v>99</v>
      </c>
      <c r="D279" s="348">
        <f>D280</f>
        <v>300000</v>
      </c>
      <c r="F279" s="231"/>
    </row>
    <row r="280" spans="1:6" ht="25.5">
      <c r="A280" s="350" t="s">
        <v>482</v>
      </c>
      <c r="B280" s="346" t="s">
        <v>824</v>
      </c>
      <c r="C280" s="346">
        <v>200</v>
      </c>
      <c r="D280" s="352">
        <v>300000</v>
      </c>
      <c r="F280" s="231"/>
    </row>
    <row r="281" spans="1:7" ht="12.75">
      <c r="A281" s="341" t="s">
        <v>714</v>
      </c>
      <c r="B281" s="343" t="s">
        <v>446</v>
      </c>
      <c r="C281" s="343" t="s">
        <v>99</v>
      </c>
      <c r="D281" s="344">
        <f>D282</f>
        <v>139630</v>
      </c>
      <c r="E281" s="360"/>
      <c r="F281" s="231"/>
      <c r="G281" s="339"/>
    </row>
    <row r="282" spans="1:7" ht="12.75">
      <c r="A282" s="350" t="s">
        <v>553</v>
      </c>
      <c r="B282" s="351" t="s">
        <v>447</v>
      </c>
      <c r="C282" s="351" t="s">
        <v>99</v>
      </c>
      <c r="D282" s="348">
        <f>D283+D285</f>
        <v>139630</v>
      </c>
      <c r="E282" s="360"/>
      <c r="F282" s="231"/>
      <c r="G282" s="339"/>
    </row>
    <row r="283" spans="1:7" ht="12.75">
      <c r="A283" s="349" t="s">
        <v>517</v>
      </c>
      <c r="B283" s="351" t="s">
        <v>807</v>
      </c>
      <c r="C283" s="347" t="s">
        <v>99</v>
      </c>
      <c r="D283" s="348">
        <f>D284</f>
        <v>79630</v>
      </c>
      <c r="E283" s="360"/>
      <c r="F283" s="231"/>
      <c r="G283" s="339"/>
    </row>
    <row r="284" spans="1:7" ht="12.75">
      <c r="A284" s="378" t="s">
        <v>89</v>
      </c>
      <c r="B284" s="379" t="s">
        <v>807</v>
      </c>
      <c r="C284" s="379" t="s">
        <v>90</v>
      </c>
      <c r="D284" s="380">
        <v>79630</v>
      </c>
      <c r="E284" s="360"/>
      <c r="F284" s="231"/>
      <c r="G284" s="339"/>
    </row>
    <row r="285" spans="1:7" ht="12.75">
      <c r="A285" s="244" t="s">
        <v>289</v>
      </c>
      <c r="B285" s="245" t="s">
        <v>290</v>
      </c>
      <c r="C285" s="381"/>
      <c r="D285" s="382">
        <v>60000</v>
      </c>
      <c r="E285" s="360"/>
      <c r="F285" s="231"/>
      <c r="G285" s="339"/>
    </row>
    <row r="286" spans="1:7" ht="12.75">
      <c r="A286" s="256" t="s">
        <v>93</v>
      </c>
      <c r="B286" s="257" t="s">
        <v>290</v>
      </c>
      <c r="C286" s="379">
        <v>300</v>
      </c>
      <c r="D286" s="380">
        <v>60000</v>
      </c>
      <c r="E286" s="360"/>
      <c r="F286" s="231"/>
      <c r="G286" s="339"/>
    </row>
    <row r="287" spans="5:7" ht="12.75">
      <c r="E287" s="334"/>
      <c r="F287" s="334"/>
      <c r="G287" s="367"/>
    </row>
    <row r="288" spans="5:7" ht="12.75">
      <c r="E288" s="336"/>
      <c r="F288" s="336"/>
      <c r="G288" s="335"/>
    </row>
    <row r="289" spans="5:7" ht="12.75">
      <c r="E289" s="336"/>
      <c r="F289" s="336"/>
      <c r="G289" s="335"/>
    </row>
    <row r="290" spans="5:7" ht="12.75">
      <c r="E290" s="336"/>
      <c r="F290" s="336"/>
      <c r="G290" s="339"/>
    </row>
    <row r="291" spans="5:7" ht="12.75">
      <c r="E291" s="211"/>
      <c r="F291" s="231"/>
      <c r="G291" s="211"/>
    </row>
    <row r="292" spans="5:7" ht="12.75">
      <c r="E292" s="211"/>
      <c r="F292" s="231"/>
      <c r="G292" s="211"/>
    </row>
    <row r="293" spans="5:7" ht="12.75">
      <c r="E293" s="211"/>
      <c r="F293" s="231"/>
      <c r="G293" s="211"/>
    </row>
    <row r="294" spans="5:7" ht="12.75">
      <c r="E294" s="211"/>
      <c r="F294" s="231"/>
      <c r="G294" s="211"/>
    </row>
    <row r="295" spans="5:7" ht="12.75">
      <c r="E295" s="211"/>
      <c r="F295" s="231"/>
      <c r="G295" s="211"/>
    </row>
    <row r="296" spans="5:7" ht="12.75">
      <c r="E296" s="211"/>
      <c r="F296" s="231"/>
      <c r="G296" s="211"/>
    </row>
    <row r="297" spans="5:7" ht="12.75">
      <c r="E297" s="211"/>
      <c r="F297" s="231"/>
      <c r="G297" s="211"/>
    </row>
    <row r="298" spans="5:7" ht="12.75">
      <c r="E298" s="211"/>
      <c r="F298" s="231"/>
      <c r="G298" s="211"/>
    </row>
    <row r="299" spans="5:7" ht="12.75">
      <c r="E299" s="211"/>
      <c r="F299" s="231"/>
      <c r="G299" s="211"/>
    </row>
  </sheetData>
  <sheetProtection/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260"/>
  <sheetViews>
    <sheetView showGridLines="0" zoomScaleSheetLayoutView="100" workbookViewId="0" topLeftCell="A1">
      <selection activeCell="E3" sqref="E3"/>
    </sheetView>
  </sheetViews>
  <sheetFormatPr defaultColWidth="9.140625" defaultRowHeight="12.75"/>
  <cols>
    <col min="1" max="1" width="61.28125" style="410" customWidth="1"/>
    <col min="2" max="2" width="13.421875" style="410" bestFit="1" customWidth="1"/>
    <col min="3" max="3" width="4.57421875" style="410" customWidth="1"/>
    <col min="4" max="5" width="14.00390625" style="410" customWidth="1"/>
    <col min="6" max="7" width="13.8515625" style="533" bestFit="1" customWidth="1"/>
    <col min="8" max="8" width="13.8515625" style="410" bestFit="1" customWidth="1"/>
    <col min="9" max="16384" width="9.140625" style="410" customWidth="1"/>
  </cols>
  <sheetData>
    <row r="1" spans="1:5" ht="12.75">
      <c r="A1" s="407"/>
      <c r="B1" s="408"/>
      <c r="C1" s="408"/>
      <c r="D1" s="532"/>
      <c r="E1" s="532" t="s">
        <v>153</v>
      </c>
    </row>
    <row r="2" spans="1:5" ht="12.75">
      <c r="A2" s="407"/>
      <c r="B2" s="408"/>
      <c r="C2" s="408"/>
      <c r="D2" s="13"/>
      <c r="E2" s="13" t="s">
        <v>519</v>
      </c>
    </row>
    <row r="3" spans="1:5" ht="12.75">
      <c r="A3" s="407"/>
      <c r="B3" s="408"/>
      <c r="C3" s="408"/>
      <c r="D3" s="67"/>
      <c r="E3" s="68" t="s">
        <v>351</v>
      </c>
    </row>
    <row r="4" spans="1:5" ht="12.75">
      <c r="A4" s="499"/>
      <c r="B4" s="408"/>
      <c r="C4" s="408"/>
      <c r="D4" s="534"/>
      <c r="E4" s="534"/>
    </row>
    <row r="5" spans="1:7" ht="38.25">
      <c r="A5" s="411" t="s">
        <v>178</v>
      </c>
      <c r="B5" s="411"/>
      <c r="C5" s="411"/>
      <c r="D5" s="411"/>
      <c r="E5" s="411"/>
      <c r="F5" s="535"/>
      <c r="G5" s="535"/>
    </row>
    <row r="6" spans="1:8" ht="12.75">
      <c r="A6" s="412"/>
      <c r="B6" s="412"/>
      <c r="C6" s="412"/>
      <c r="D6" s="412"/>
      <c r="E6" s="412" t="s">
        <v>100</v>
      </c>
      <c r="F6" s="410"/>
      <c r="G6" s="414"/>
      <c r="H6" s="414"/>
    </row>
    <row r="7" spans="1:8" ht="22.5">
      <c r="A7" s="415" t="s">
        <v>96</v>
      </c>
      <c r="B7" s="415" t="s">
        <v>543</v>
      </c>
      <c r="C7" s="415" t="s">
        <v>544</v>
      </c>
      <c r="D7" s="415" t="s">
        <v>242</v>
      </c>
      <c r="E7" s="415" t="s">
        <v>177</v>
      </c>
      <c r="F7" s="535"/>
      <c r="G7" s="414"/>
      <c r="H7" s="414"/>
    </row>
    <row r="8" spans="1:8" ht="12.75">
      <c r="A8" s="536" t="s">
        <v>598</v>
      </c>
      <c r="B8" s="536">
        <v>2</v>
      </c>
      <c r="C8" s="536">
        <v>3</v>
      </c>
      <c r="D8" s="536">
        <v>4</v>
      </c>
      <c r="E8" s="536">
        <v>5</v>
      </c>
      <c r="F8" s="535"/>
      <c r="G8" s="535"/>
      <c r="H8" s="414"/>
    </row>
    <row r="9" spans="1:8" ht="12.75">
      <c r="A9" s="537" t="s">
        <v>101</v>
      </c>
      <c r="B9" s="511" t="s">
        <v>99</v>
      </c>
      <c r="C9" s="511" t="s">
        <v>99</v>
      </c>
      <c r="D9" s="512">
        <f>D10+D23+D63+D109+D115+D120+D132+D147+D159+D165+D172+D183+D193+D197+D201+D210+D219+D225+D240+D244</f>
        <v>244505984</v>
      </c>
      <c r="E9" s="512">
        <f>E10+E23+E63+E109+E115+E120+E132+E147+E159+E165+E172+E183+E193+E197+E201+E210+E219+E225+E240+E244</f>
        <v>241409166</v>
      </c>
      <c r="F9" s="538"/>
      <c r="G9" s="414"/>
      <c r="H9" s="414"/>
    </row>
    <row r="10" spans="1:8" ht="25.5">
      <c r="A10" s="539" t="s">
        <v>821</v>
      </c>
      <c r="B10" s="540" t="s">
        <v>647</v>
      </c>
      <c r="C10" s="541" t="s">
        <v>99</v>
      </c>
      <c r="D10" s="542">
        <f>D11+D17</f>
        <v>14943370.5</v>
      </c>
      <c r="E10" s="543">
        <f>E11+E17</f>
        <v>14575580.5</v>
      </c>
      <c r="G10" s="426"/>
      <c r="H10" s="426"/>
    </row>
    <row r="11" spans="1:8" ht="25.5">
      <c r="A11" s="544" t="s">
        <v>21</v>
      </c>
      <c r="B11" s="436" t="s">
        <v>648</v>
      </c>
      <c r="C11" s="431" t="s">
        <v>99</v>
      </c>
      <c r="D11" s="429">
        <f>D12</f>
        <v>2897465.5</v>
      </c>
      <c r="E11" s="545">
        <f>E12</f>
        <v>2808625.5</v>
      </c>
      <c r="G11" s="426"/>
      <c r="H11" s="426"/>
    </row>
    <row r="12" spans="1:8" ht="12.75">
      <c r="A12" s="130" t="s">
        <v>624</v>
      </c>
      <c r="B12" s="436" t="s">
        <v>649</v>
      </c>
      <c r="C12" s="431"/>
      <c r="D12" s="429">
        <f>D13</f>
        <v>2897465.5</v>
      </c>
      <c r="E12" s="545">
        <f>E13</f>
        <v>2808625.5</v>
      </c>
      <c r="G12" s="426"/>
      <c r="H12" s="426"/>
    </row>
    <row r="13" spans="1:8" ht="25.5">
      <c r="A13" s="546" t="s">
        <v>516</v>
      </c>
      <c r="B13" s="436" t="s">
        <v>650</v>
      </c>
      <c r="C13" s="431" t="s">
        <v>99</v>
      </c>
      <c r="D13" s="429">
        <f>SUM(D14:D16)</f>
        <v>2897465.5</v>
      </c>
      <c r="E13" s="545">
        <f>SUM(E14:E16)</f>
        <v>2808625.5</v>
      </c>
      <c r="G13" s="426"/>
      <c r="H13" s="426"/>
    </row>
    <row r="14" spans="1:8" ht="51">
      <c r="A14" s="547" t="s">
        <v>104</v>
      </c>
      <c r="B14" s="436" t="s">
        <v>650</v>
      </c>
      <c r="C14" s="431">
        <v>100</v>
      </c>
      <c r="D14" s="433">
        <v>2714027</v>
      </c>
      <c r="E14" s="548">
        <f>2073630+551557</f>
        <v>2625187</v>
      </c>
      <c r="G14" s="426"/>
      <c r="H14" s="426"/>
    </row>
    <row r="15" spans="1:8" ht="25.5">
      <c r="A15" s="547" t="s">
        <v>482</v>
      </c>
      <c r="B15" s="436" t="s">
        <v>650</v>
      </c>
      <c r="C15" s="431">
        <v>200</v>
      </c>
      <c r="D15" s="433">
        <f>135272+12872</f>
        <v>148144</v>
      </c>
      <c r="E15" s="548">
        <f>135272+12872</f>
        <v>148144</v>
      </c>
      <c r="G15" s="426"/>
      <c r="H15" s="426"/>
    </row>
    <row r="16" spans="1:8" ht="12.75">
      <c r="A16" s="547" t="s">
        <v>89</v>
      </c>
      <c r="B16" s="436" t="s">
        <v>650</v>
      </c>
      <c r="C16" s="431">
        <v>800</v>
      </c>
      <c r="D16" s="433">
        <v>35294.5</v>
      </c>
      <c r="E16" s="548">
        <v>35294.5</v>
      </c>
      <c r="G16" s="426"/>
      <c r="H16" s="426"/>
    </row>
    <row r="17" spans="1:8" ht="25.5">
      <c r="A17" s="544" t="s">
        <v>22</v>
      </c>
      <c r="B17" s="436" t="s">
        <v>651</v>
      </c>
      <c r="C17" s="431"/>
      <c r="D17" s="429">
        <f>D18</f>
        <v>12045905</v>
      </c>
      <c r="E17" s="545">
        <f>E18</f>
        <v>11766955</v>
      </c>
      <c r="G17" s="426"/>
      <c r="H17" s="426"/>
    </row>
    <row r="18" spans="1:8" ht="38.25">
      <c r="A18" s="130" t="s">
        <v>400</v>
      </c>
      <c r="B18" s="436" t="s">
        <v>652</v>
      </c>
      <c r="C18" s="431"/>
      <c r="D18" s="429">
        <f>D19+D21</f>
        <v>12045905</v>
      </c>
      <c r="E18" s="545">
        <f>E19+E21</f>
        <v>11766955</v>
      </c>
      <c r="G18" s="426"/>
      <c r="H18" s="426"/>
    </row>
    <row r="19" spans="1:8" ht="25.5">
      <c r="A19" s="546" t="s">
        <v>516</v>
      </c>
      <c r="B19" s="436" t="s">
        <v>653</v>
      </c>
      <c r="C19" s="431"/>
      <c r="D19" s="429">
        <f>D20</f>
        <v>12025905</v>
      </c>
      <c r="E19" s="545">
        <f>E20</f>
        <v>11746955</v>
      </c>
      <c r="G19" s="426"/>
      <c r="H19" s="426"/>
    </row>
    <row r="20" spans="1:8" ht="25.5">
      <c r="A20" s="547" t="s">
        <v>102</v>
      </c>
      <c r="B20" s="436" t="s">
        <v>653</v>
      </c>
      <c r="C20" s="431">
        <v>600</v>
      </c>
      <c r="D20" s="433">
        <v>12025905</v>
      </c>
      <c r="E20" s="548">
        <f>9674864+1904443+167648</f>
        <v>11746955</v>
      </c>
      <c r="G20" s="426"/>
      <c r="H20" s="426"/>
    </row>
    <row r="21" spans="1:8" ht="24">
      <c r="A21" s="131" t="s">
        <v>622</v>
      </c>
      <c r="B21" s="436" t="s">
        <v>585</v>
      </c>
      <c r="C21" s="431"/>
      <c r="D21" s="429">
        <f>D22</f>
        <v>20000</v>
      </c>
      <c r="E21" s="545">
        <f>E22</f>
        <v>20000</v>
      </c>
      <c r="G21" s="426"/>
      <c r="H21" s="426"/>
    </row>
    <row r="22" spans="1:8" ht="25.5">
      <c r="A22" s="549" t="s">
        <v>103</v>
      </c>
      <c r="B22" s="457" t="s">
        <v>585</v>
      </c>
      <c r="C22" s="456">
        <v>200</v>
      </c>
      <c r="D22" s="490">
        <v>20000</v>
      </c>
      <c r="E22" s="550">
        <v>20000</v>
      </c>
      <c r="G22" s="426"/>
      <c r="H22" s="426"/>
    </row>
    <row r="23" spans="1:8" ht="25.5">
      <c r="A23" s="551" t="s">
        <v>71</v>
      </c>
      <c r="B23" s="552" t="s">
        <v>808</v>
      </c>
      <c r="C23" s="423" t="s">
        <v>99</v>
      </c>
      <c r="D23" s="469">
        <f>D24+D33+D52</f>
        <v>17114208</v>
      </c>
      <c r="E23" s="553">
        <f>E24+E33+E52</f>
        <v>17114208</v>
      </c>
      <c r="G23" s="426"/>
      <c r="H23" s="426"/>
    </row>
    <row r="24" spans="1:8" ht="38.25">
      <c r="A24" s="544" t="s">
        <v>261</v>
      </c>
      <c r="B24" s="437" t="s">
        <v>812</v>
      </c>
      <c r="C24" s="431" t="s">
        <v>99</v>
      </c>
      <c r="D24" s="429">
        <f>D25+D28</f>
        <v>2196300</v>
      </c>
      <c r="E24" s="545">
        <f>E25+E28</f>
        <v>2196300</v>
      </c>
      <c r="G24" s="426"/>
      <c r="H24" s="426"/>
    </row>
    <row r="25" spans="1:8" ht="38.25">
      <c r="A25" s="132" t="s">
        <v>898</v>
      </c>
      <c r="B25" s="437" t="s">
        <v>142</v>
      </c>
      <c r="C25" s="431"/>
      <c r="D25" s="429">
        <f>D26</f>
        <v>124300</v>
      </c>
      <c r="E25" s="545">
        <f>E26</f>
        <v>124300</v>
      </c>
      <c r="G25" s="426"/>
      <c r="H25" s="426"/>
    </row>
    <row r="26" spans="1:8" ht="38.25">
      <c r="A26" s="546" t="s">
        <v>390</v>
      </c>
      <c r="B26" s="436" t="s">
        <v>899</v>
      </c>
      <c r="C26" s="431" t="s">
        <v>99</v>
      </c>
      <c r="D26" s="429">
        <f>D27</f>
        <v>124300</v>
      </c>
      <c r="E26" s="545">
        <f>E27</f>
        <v>124300</v>
      </c>
      <c r="G26" s="426"/>
      <c r="H26" s="426"/>
    </row>
    <row r="27" spans="1:8" ht="25.5">
      <c r="A27" s="547" t="s">
        <v>102</v>
      </c>
      <c r="B27" s="436" t="s">
        <v>899</v>
      </c>
      <c r="C27" s="431" t="s">
        <v>91</v>
      </c>
      <c r="D27" s="433">
        <v>124300</v>
      </c>
      <c r="E27" s="548">
        <v>124300</v>
      </c>
      <c r="G27" s="426"/>
      <c r="H27" s="426"/>
    </row>
    <row r="28" spans="1:8" ht="38.25">
      <c r="A28" s="133" t="s">
        <v>81</v>
      </c>
      <c r="B28" s="437" t="s">
        <v>82</v>
      </c>
      <c r="C28" s="431"/>
      <c r="D28" s="429">
        <f>D29</f>
        <v>2072000</v>
      </c>
      <c r="E28" s="545">
        <f>E29</f>
        <v>2072000</v>
      </c>
      <c r="G28" s="426"/>
      <c r="H28" s="426"/>
    </row>
    <row r="29" spans="1:8" ht="25.5">
      <c r="A29" s="546" t="s">
        <v>271</v>
      </c>
      <c r="B29" s="437" t="s">
        <v>83</v>
      </c>
      <c r="C29" s="431" t="s">
        <v>99</v>
      </c>
      <c r="D29" s="429">
        <f>SUM(D30:D32)</f>
        <v>2072000</v>
      </c>
      <c r="E29" s="545">
        <f>SUM(E30:E32)</f>
        <v>2072000</v>
      </c>
      <c r="G29" s="426"/>
      <c r="H29" s="426"/>
    </row>
    <row r="30" spans="1:8" ht="51">
      <c r="A30" s="547" t="s">
        <v>104</v>
      </c>
      <c r="B30" s="437" t="s">
        <v>83</v>
      </c>
      <c r="C30" s="431">
        <v>100</v>
      </c>
      <c r="D30" s="433">
        <f>1905000+21000</f>
        <v>1926000</v>
      </c>
      <c r="E30" s="433">
        <f>1905000+21000</f>
        <v>1926000</v>
      </c>
      <c r="G30" s="426"/>
      <c r="H30" s="426"/>
    </row>
    <row r="31" spans="1:8" ht="25.5">
      <c r="A31" s="547" t="s">
        <v>482</v>
      </c>
      <c r="B31" s="437" t="s">
        <v>83</v>
      </c>
      <c r="C31" s="431">
        <v>200</v>
      </c>
      <c r="D31" s="433">
        <f>139900+5600</f>
        <v>145500</v>
      </c>
      <c r="E31" s="433">
        <f>139900+5600</f>
        <v>145500</v>
      </c>
      <c r="G31" s="426"/>
      <c r="H31" s="426"/>
    </row>
    <row r="32" spans="1:8" ht="12.75">
      <c r="A32" s="547" t="s">
        <v>89</v>
      </c>
      <c r="B32" s="437" t="s">
        <v>83</v>
      </c>
      <c r="C32" s="431">
        <v>800</v>
      </c>
      <c r="D32" s="433">
        <v>500</v>
      </c>
      <c r="E32" s="548">
        <v>500</v>
      </c>
      <c r="G32" s="426"/>
      <c r="H32" s="426"/>
    </row>
    <row r="33" spans="1:8" ht="38.25">
      <c r="A33" s="544" t="s">
        <v>186</v>
      </c>
      <c r="B33" s="437" t="s">
        <v>668</v>
      </c>
      <c r="C33" s="431" t="s">
        <v>99</v>
      </c>
      <c r="D33" s="429">
        <f>D34+D41+D45+D48</f>
        <v>8558104</v>
      </c>
      <c r="E33" s="545">
        <f>E34+E41+E45+E48</f>
        <v>8558104</v>
      </c>
      <c r="G33" s="426"/>
      <c r="H33" s="426"/>
    </row>
    <row r="34" spans="1:8" ht="25.5">
      <c r="A34" s="130" t="s">
        <v>401</v>
      </c>
      <c r="B34" s="437" t="s">
        <v>136</v>
      </c>
      <c r="C34" s="431"/>
      <c r="D34" s="429">
        <f>D35+D38</f>
        <v>7938092</v>
      </c>
      <c r="E34" s="545">
        <f>E35+E38</f>
        <v>7938092</v>
      </c>
      <c r="G34" s="426"/>
      <c r="H34" s="426"/>
    </row>
    <row r="35" spans="1:8" ht="12.75">
      <c r="A35" s="546" t="s">
        <v>24</v>
      </c>
      <c r="B35" s="436" t="s">
        <v>402</v>
      </c>
      <c r="C35" s="431" t="s">
        <v>99</v>
      </c>
      <c r="D35" s="429">
        <f>SUM(D36:D37)</f>
        <v>6840092</v>
      </c>
      <c r="E35" s="545">
        <f>SUM(E36:E37)</f>
        <v>6840092</v>
      </c>
      <c r="G35" s="426"/>
      <c r="H35" s="426"/>
    </row>
    <row r="36" spans="1:8" ht="25.5">
      <c r="A36" s="547" t="s">
        <v>482</v>
      </c>
      <c r="B36" s="436" t="s">
        <v>402</v>
      </c>
      <c r="C36" s="431">
        <v>200</v>
      </c>
      <c r="D36" s="433">
        <v>110000</v>
      </c>
      <c r="E36" s="548">
        <v>110000</v>
      </c>
      <c r="G36" s="426"/>
      <c r="H36" s="426"/>
    </row>
    <row r="37" spans="1:8" ht="12.75">
      <c r="A37" s="547" t="s">
        <v>93</v>
      </c>
      <c r="B37" s="436" t="s">
        <v>402</v>
      </c>
      <c r="C37" s="431">
        <v>300</v>
      </c>
      <c r="D37" s="433">
        <v>6730092</v>
      </c>
      <c r="E37" s="548">
        <v>6730092</v>
      </c>
      <c r="G37" s="426"/>
      <c r="H37" s="426"/>
    </row>
    <row r="38" spans="1:8" ht="12.75">
      <c r="A38" s="546" t="s">
        <v>25</v>
      </c>
      <c r="B38" s="436" t="s">
        <v>403</v>
      </c>
      <c r="C38" s="431" t="s">
        <v>99</v>
      </c>
      <c r="D38" s="429">
        <f>SUM(D39:D40)</f>
        <v>1098000</v>
      </c>
      <c r="E38" s="545">
        <f>SUM(E39:E40)</f>
        <v>1098000</v>
      </c>
      <c r="G38" s="426"/>
      <c r="H38" s="426"/>
    </row>
    <row r="39" spans="1:8" ht="25.5">
      <c r="A39" s="547" t="s">
        <v>482</v>
      </c>
      <c r="B39" s="436" t="s">
        <v>403</v>
      </c>
      <c r="C39" s="431">
        <v>200</v>
      </c>
      <c r="D39" s="433">
        <v>25000</v>
      </c>
      <c r="E39" s="548">
        <v>25000</v>
      </c>
      <c r="G39" s="426"/>
      <c r="H39" s="426"/>
    </row>
    <row r="40" spans="1:8" ht="12.75">
      <c r="A40" s="547" t="s">
        <v>93</v>
      </c>
      <c r="B40" s="436" t="s">
        <v>403</v>
      </c>
      <c r="C40" s="431" t="s">
        <v>92</v>
      </c>
      <c r="D40" s="433">
        <v>1073000</v>
      </c>
      <c r="E40" s="548">
        <v>1073000</v>
      </c>
      <c r="G40" s="426"/>
      <c r="H40" s="426"/>
    </row>
    <row r="41" spans="1:8" ht="25.5">
      <c r="A41" s="134" t="s">
        <v>133</v>
      </c>
      <c r="B41" s="437" t="s">
        <v>137</v>
      </c>
      <c r="C41" s="428"/>
      <c r="D41" s="429">
        <f>D42</f>
        <v>136797</v>
      </c>
      <c r="E41" s="545">
        <f>E42</f>
        <v>136797</v>
      </c>
      <c r="G41" s="426"/>
      <c r="H41" s="426"/>
    </row>
    <row r="42" spans="1:8" ht="25.5">
      <c r="A42" s="546" t="s">
        <v>518</v>
      </c>
      <c r="B42" s="436" t="s">
        <v>138</v>
      </c>
      <c r="C42" s="431" t="s">
        <v>99</v>
      </c>
      <c r="D42" s="429">
        <f>SUM(D43:D44)</f>
        <v>136797</v>
      </c>
      <c r="E42" s="545">
        <f>SUM(E43:E44)</f>
        <v>136797</v>
      </c>
      <c r="G42" s="426"/>
      <c r="H42" s="426"/>
    </row>
    <row r="43" spans="1:8" ht="25.5">
      <c r="A43" s="547" t="s">
        <v>482</v>
      </c>
      <c r="B43" s="436" t="s">
        <v>138</v>
      </c>
      <c r="C43" s="431">
        <v>200</v>
      </c>
      <c r="D43" s="429">
        <v>2797</v>
      </c>
      <c r="E43" s="545">
        <v>2797</v>
      </c>
      <c r="G43" s="426"/>
      <c r="H43" s="426"/>
    </row>
    <row r="44" spans="1:8" ht="12.75">
      <c r="A44" s="547" t="s">
        <v>93</v>
      </c>
      <c r="B44" s="436" t="s">
        <v>138</v>
      </c>
      <c r="C44" s="431" t="s">
        <v>92</v>
      </c>
      <c r="D44" s="433">
        <v>134000</v>
      </c>
      <c r="E44" s="548">
        <v>134000</v>
      </c>
      <c r="G44" s="426"/>
      <c r="H44" s="426"/>
    </row>
    <row r="45" spans="1:8" ht="25.5">
      <c r="A45" s="135" t="s">
        <v>320</v>
      </c>
      <c r="B45" s="437" t="s">
        <v>182</v>
      </c>
      <c r="C45" s="554"/>
      <c r="D45" s="429">
        <f>D46</f>
        <v>30000</v>
      </c>
      <c r="E45" s="545">
        <f>E46</f>
        <v>30000</v>
      </c>
      <c r="G45" s="426"/>
      <c r="H45" s="426"/>
    </row>
    <row r="46" spans="1:8" ht="25.5">
      <c r="A46" s="135" t="s">
        <v>184</v>
      </c>
      <c r="B46" s="436" t="s">
        <v>183</v>
      </c>
      <c r="C46" s="554"/>
      <c r="D46" s="429">
        <f>D47</f>
        <v>30000</v>
      </c>
      <c r="E46" s="545">
        <f>E47</f>
        <v>30000</v>
      </c>
      <c r="G46" s="426"/>
      <c r="H46" s="426"/>
    </row>
    <row r="47" spans="1:8" ht="12.75">
      <c r="A47" s="547" t="s">
        <v>93</v>
      </c>
      <c r="B47" s="436" t="s">
        <v>183</v>
      </c>
      <c r="C47" s="436">
        <v>300</v>
      </c>
      <c r="D47" s="433">
        <v>30000</v>
      </c>
      <c r="E47" s="548">
        <v>30000</v>
      </c>
      <c r="G47" s="426"/>
      <c r="H47" s="426"/>
    </row>
    <row r="48" spans="1:8" ht="27.75" customHeight="1">
      <c r="A48" s="132" t="s">
        <v>404</v>
      </c>
      <c r="B48" s="437" t="s">
        <v>139</v>
      </c>
      <c r="C48" s="428"/>
      <c r="D48" s="429">
        <f>D49</f>
        <v>453215</v>
      </c>
      <c r="E48" s="545">
        <f>E49</f>
        <v>453215</v>
      </c>
      <c r="G48" s="426"/>
      <c r="H48" s="426"/>
    </row>
    <row r="49" spans="1:8" ht="25.5">
      <c r="A49" s="546" t="s">
        <v>124</v>
      </c>
      <c r="B49" s="436" t="s">
        <v>140</v>
      </c>
      <c r="C49" s="431" t="s">
        <v>99</v>
      </c>
      <c r="D49" s="429">
        <f>SUM(D50:D51)</f>
        <v>453215</v>
      </c>
      <c r="E49" s="545">
        <f>SUM(E50:E51)</f>
        <v>453215</v>
      </c>
      <c r="G49" s="426"/>
      <c r="H49" s="426"/>
    </row>
    <row r="50" spans="1:8" ht="25.5">
      <c r="A50" s="547" t="s">
        <v>482</v>
      </c>
      <c r="B50" s="436" t="s">
        <v>140</v>
      </c>
      <c r="C50" s="431">
        <v>200</v>
      </c>
      <c r="D50" s="433">
        <v>2500</v>
      </c>
      <c r="E50" s="548">
        <v>2500</v>
      </c>
      <c r="G50" s="426"/>
      <c r="H50" s="426"/>
    </row>
    <row r="51" spans="1:8" ht="12.75">
      <c r="A51" s="547" t="s">
        <v>93</v>
      </c>
      <c r="B51" s="436" t="s">
        <v>140</v>
      </c>
      <c r="C51" s="431">
        <v>300</v>
      </c>
      <c r="D51" s="433">
        <v>450715</v>
      </c>
      <c r="E51" s="548">
        <v>450715</v>
      </c>
      <c r="G51" s="426"/>
      <c r="H51" s="426"/>
    </row>
    <row r="52" spans="1:8" ht="51">
      <c r="A52" s="544" t="s">
        <v>712</v>
      </c>
      <c r="B52" s="428" t="s">
        <v>813</v>
      </c>
      <c r="C52" s="428"/>
      <c r="D52" s="429">
        <f>D53+D56+D59</f>
        <v>6359804</v>
      </c>
      <c r="E52" s="545">
        <f>E53+E56+E59</f>
        <v>6359804</v>
      </c>
      <c r="G52" s="426"/>
      <c r="H52" s="426"/>
    </row>
    <row r="53" spans="1:8" ht="38.25">
      <c r="A53" s="130" t="s">
        <v>77</v>
      </c>
      <c r="B53" s="428" t="s">
        <v>134</v>
      </c>
      <c r="C53" s="431"/>
      <c r="D53" s="429">
        <f>D54</f>
        <v>1432488</v>
      </c>
      <c r="E53" s="545">
        <f>E54</f>
        <v>1432488</v>
      </c>
      <c r="G53" s="426"/>
      <c r="H53" s="426"/>
    </row>
    <row r="54" spans="1:8" ht="12.75">
      <c r="A54" s="134" t="s">
        <v>562</v>
      </c>
      <c r="B54" s="436" t="s">
        <v>78</v>
      </c>
      <c r="C54" s="431"/>
      <c r="D54" s="429">
        <f>D55</f>
        <v>1432488</v>
      </c>
      <c r="E54" s="545">
        <f>E55</f>
        <v>1432488</v>
      </c>
      <c r="G54" s="426"/>
      <c r="H54" s="426"/>
    </row>
    <row r="55" spans="1:8" ht="12.75">
      <c r="A55" s="547" t="s">
        <v>93</v>
      </c>
      <c r="B55" s="436" t="s">
        <v>78</v>
      </c>
      <c r="C55" s="431">
        <v>300</v>
      </c>
      <c r="D55" s="433">
        <v>1432488</v>
      </c>
      <c r="E55" s="548">
        <v>1432488</v>
      </c>
      <c r="G55" s="426"/>
      <c r="H55" s="426"/>
    </row>
    <row r="56" spans="1:8" ht="38.25">
      <c r="A56" s="130" t="s">
        <v>135</v>
      </c>
      <c r="B56" s="437" t="s">
        <v>79</v>
      </c>
      <c r="C56" s="431"/>
      <c r="D56" s="429">
        <f>D57</f>
        <v>4039316</v>
      </c>
      <c r="E56" s="545">
        <f>E57</f>
        <v>4039316</v>
      </c>
      <c r="G56" s="426"/>
      <c r="H56" s="426"/>
    </row>
    <row r="57" spans="1:8" ht="25.5">
      <c r="A57" s="546" t="s">
        <v>26</v>
      </c>
      <c r="B57" s="436" t="s">
        <v>80</v>
      </c>
      <c r="C57" s="431" t="s">
        <v>99</v>
      </c>
      <c r="D57" s="429">
        <f>SUM(D58:D58)</f>
        <v>4039316</v>
      </c>
      <c r="E57" s="545">
        <f>SUM(E58:E58)</f>
        <v>4039316</v>
      </c>
      <c r="G57" s="426"/>
      <c r="H57" s="426"/>
    </row>
    <row r="58" spans="1:8" ht="12.75">
      <c r="A58" s="547" t="s">
        <v>93</v>
      </c>
      <c r="B58" s="436" t="s">
        <v>80</v>
      </c>
      <c r="C58" s="431">
        <v>300</v>
      </c>
      <c r="D58" s="433">
        <v>4039316</v>
      </c>
      <c r="E58" s="548">
        <v>4039316</v>
      </c>
      <c r="G58" s="426"/>
      <c r="H58" s="426"/>
    </row>
    <row r="59" spans="1:8" ht="38.25">
      <c r="A59" s="547" t="s">
        <v>23</v>
      </c>
      <c r="B59" s="428" t="s">
        <v>754</v>
      </c>
      <c r="C59" s="431"/>
      <c r="D59" s="429">
        <f>D60</f>
        <v>888000</v>
      </c>
      <c r="E59" s="545">
        <f>E60</f>
        <v>888000</v>
      </c>
      <c r="G59" s="426"/>
      <c r="H59" s="426"/>
    </row>
    <row r="60" spans="1:8" ht="38.25">
      <c r="A60" s="546" t="s">
        <v>611</v>
      </c>
      <c r="B60" s="436" t="s">
        <v>900</v>
      </c>
      <c r="C60" s="431"/>
      <c r="D60" s="429">
        <f>SUM(D61:D62)</f>
        <v>888000</v>
      </c>
      <c r="E60" s="545">
        <f>SUM(E61:E62)</f>
        <v>888000</v>
      </c>
      <c r="G60" s="426"/>
      <c r="H60" s="426"/>
    </row>
    <row r="61" spans="1:8" ht="51">
      <c r="A61" s="547" t="s">
        <v>104</v>
      </c>
      <c r="B61" s="436" t="s">
        <v>900</v>
      </c>
      <c r="C61" s="431">
        <v>100</v>
      </c>
      <c r="D61" s="433">
        <v>829238</v>
      </c>
      <c r="E61" s="548">
        <v>829238</v>
      </c>
      <c r="G61" s="426"/>
      <c r="H61" s="426"/>
    </row>
    <row r="62" spans="1:8" ht="25.5">
      <c r="A62" s="549" t="s">
        <v>482</v>
      </c>
      <c r="B62" s="457" t="s">
        <v>900</v>
      </c>
      <c r="C62" s="456" t="s">
        <v>600</v>
      </c>
      <c r="D62" s="458">
        <f>47362+11400</f>
        <v>58762</v>
      </c>
      <c r="E62" s="555">
        <f>47362+11400</f>
        <v>58762</v>
      </c>
      <c r="G62" s="426"/>
      <c r="H62" s="426"/>
    </row>
    <row r="63" spans="1:8" ht="26.25" customHeight="1">
      <c r="A63" s="551" t="s">
        <v>58</v>
      </c>
      <c r="B63" s="552" t="s">
        <v>564</v>
      </c>
      <c r="C63" s="423" t="s">
        <v>99</v>
      </c>
      <c r="D63" s="469">
        <f>D64+D78+D103</f>
        <v>172142460.5</v>
      </c>
      <c r="E63" s="553">
        <f>E64+E78+E103</f>
        <v>171236551.5</v>
      </c>
      <c r="G63" s="426"/>
      <c r="H63" s="426"/>
    </row>
    <row r="64" spans="1:8" ht="38.25">
      <c r="A64" s="544" t="s">
        <v>876</v>
      </c>
      <c r="B64" s="436" t="s">
        <v>641</v>
      </c>
      <c r="C64" s="431" t="s">
        <v>99</v>
      </c>
      <c r="D64" s="429">
        <f>D65+D68+D73</f>
        <v>4059551</v>
      </c>
      <c r="E64" s="545">
        <f>E65+E68+E73</f>
        <v>3941412</v>
      </c>
      <c r="G64" s="426"/>
      <c r="H64" s="426"/>
    </row>
    <row r="65" spans="1:8" ht="38.25">
      <c r="A65" s="134" t="s">
        <v>911</v>
      </c>
      <c r="B65" s="436" t="s">
        <v>642</v>
      </c>
      <c r="C65" s="431"/>
      <c r="D65" s="429">
        <f>D66</f>
        <v>221676</v>
      </c>
      <c r="E65" s="545">
        <f>E66</f>
        <v>221676</v>
      </c>
      <c r="G65" s="426"/>
      <c r="H65" s="426"/>
    </row>
    <row r="66" spans="1:8" ht="38.25">
      <c r="A66" s="547" t="s">
        <v>260</v>
      </c>
      <c r="B66" s="436" t="s">
        <v>643</v>
      </c>
      <c r="C66" s="431"/>
      <c r="D66" s="429">
        <f>D67</f>
        <v>221676</v>
      </c>
      <c r="E66" s="545">
        <f>E67</f>
        <v>221676</v>
      </c>
      <c r="G66" s="426"/>
      <c r="H66" s="426"/>
    </row>
    <row r="67" spans="1:8" ht="51">
      <c r="A67" s="547" t="s">
        <v>104</v>
      </c>
      <c r="B67" s="436" t="s">
        <v>643</v>
      </c>
      <c r="C67" s="431">
        <v>100</v>
      </c>
      <c r="D67" s="433">
        <v>221676</v>
      </c>
      <c r="E67" s="548">
        <v>221676</v>
      </c>
      <c r="G67" s="426"/>
      <c r="H67" s="426"/>
    </row>
    <row r="68" spans="1:8" ht="26.25" customHeight="1">
      <c r="A68" s="136" t="s">
        <v>661</v>
      </c>
      <c r="B68" s="436" t="s">
        <v>645</v>
      </c>
      <c r="C68" s="431"/>
      <c r="D68" s="429">
        <f>D69</f>
        <v>2946344</v>
      </c>
      <c r="E68" s="545">
        <f>E69</f>
        <v>2855959</v>
      </c>
      <c r="G68" s="426"/>
      <c r="H68" s="426"/>
    </row>
    <row r="69" spans="1:8" ht="25.5">
      <c r="A69" s="546" t="s">
        <v>126</v>
      </c>
      <c r="B69" s="436" t="s">
        <v>646</v>
      </c>
      <c r="C69" s="431" t="s">
        <v>99</v>
      </c>
      <c r="D69" s="429">
        <f>SUM(D70:D72)</f>
        <v>2946344</v>
      </c>
      <c r="E69" s="545">
        <f>SUM(E70:E72)</f>
        <v>2855959</v>
      </c>
      <c r="G69" s="426"/>
      <c r="H69" s="426"/>
    </row>
    <row r="70" spans="1:8" ht="51">
      <c r="A70" s="547" t="s">
        <v>104</v>
      </c>
      <c r="B70" s="436" t="s">
        <v>646</v>
      </c>
      <c r="C70" s="431" t="s">
        <v>27</v>
      </c>
      <c r="D70" s="433">
        <v>2761238</v>
      </c>
      <c r="E70" s="548">
        <f>2109828+561025</f>
        <v>2670853</v>
      </c>
      <c r="G70" s="426"/>
      <c r="H70" s="426"/>
    </row>
    <row r="71" spans="1:8" ht="25.5">
      <c r="A71" s="547" t="s">
        <v>482</v>
      </c>
      <c r="B71" s="436" t="s">
        <v>646</v>
      </c>
      <c r="C71" s="431" t="s">
        <v>600</v>
      </c>
      <c r="D71" s="433">
        <f>176751+6855</f>
        <v>183606</v>
      </c>
      <c r="E71" s="548">
        <f>176751+6855</f>
        <v>183606</v>
      </c>
      <c r="G71" s="426"/>
      <c r="H71" s="426"/>
    </row>
    <row r="72" spans="1:8" ht="12.75">
      <c r="A72" s="547" t="s">
        <v>89</v>
      </c>
      <c r="B72" s="436" t="s">
        <v>646</v>
      </c>
      <c r="C72" s="431">
        <v>800</v>
      </c>
      <c r="D72" s="433">
        <v>1500</v>
      </c>
      <c r="E72" s="548">
        <v>1500</v>
      </c>
      <c r="G72" s="426"/>
      <c r="H72" s="426"/>
    </row>
    <row r="73" spans="1:8" ht="25.5">
      <c r="A73" s="546" t="s">
        <v>394</v>
      </c>
      <c r="B73" s="436" t="s">
        <v>398</v>
      </c>
      <c r="C73" s="431"/>
      <c r="D73" s="429">
        <f>D74</f>
        <v>891531</v>
      </c>
      <c r="E73" s="545">
        <f>E74</f>
        <v>863777</v>
      </c>
      <c r="G73" s="426"/>
      <c r="H73" s="426"/>
    </row>
    <row r="74" spans="1:8" ht="25.5">
      <c r="A74" s="546" t="s">
        <v>514</v>
      </c>
      <c r="B74" s="436" t="s">
        <v>399</v>
      </c>
      <c r="C74" s="431"/>
      <c r="D74" s="429">
        <f>SUM(D75:D77)</f>
        <v>891531</v>
      </c>
      <c r="E74" s="545">
        <f>SUM(E75:E77)</f>
        <v>863777</v>
      </c>
      <c r="G74" s="426"/>
      <c r="H74" s="426"/>
    </row>
    <row r="75" spans="1:8" ht="51">
      <c r="A75" s="547" t="s">
        <v>104</v>
      </c>
      <c r="B75" s="436" t="s">
        <v>399</v>
      </c>
      <c r="C75" s="431" t="s">
        <v>27</v>
      </c>
      <c r="D75" s="433">
        <v>847887</v>
      </c>
      <c r="E75" s="548">
        <f>650508+169625</f>
        <v>820133</v>
      </c>
      <c r="G75" s="426"/>
      <c r="H75" s="426"/>
    </row>
    <row r="76" spans="1:8" ht="25.5">
      <c r="A76" s="547" t="s">
        <v>482</v>
      </c>
      <c r="B76" s="436" t="s">
        <v>399</v>
      </c>
      <c r="C76" s="431" t="s">
        <v>600</v>
      </c>
      <c r="D76" s="433">
        <v>42144</v>
      </c>
      <c r="E76" s="548">
        <v>42144</v>
      </c>
      <c r="G76" s="426"/>
      <c r="H76" s="426"/>
    </row>
    <row r="77" spans="1:8" ht="12.75">
      <c r="A77" s="547" t="s">
        <v>89</v>
      </c>
      <c r="B77" s="436" t="s">
        <v>399</v>
      </c>
      <c r="C77" s="431">
        <v>800</v>
      </c>
      <c r="D77" s="433">
        <v>1500</v>
      </c>
      <c r="E77" s="548">
        <v>1500</v>
      </c>
      <c r="G77" s="426"/>
      <c r="H77" s="426"/>
    </row>
    <row r="78" spans="1:8" ht="38.25">
      <c r="A78" s="544" t="s">
        <v>877</v>
      </c>
      <c r="B78" s="437" t="s">
        <v>565</v>
      </c>
      <c r="C78" s="431" t="s">
        <v>99</v>
      </c>
      <c r="D78" s="429">
        <f>D79+D87+D93+D98</f>
        <v>152396939</v>
      </c>
      <c r="E78" s="545">
        <f>E79+E87+E93+E98</f>
        <v>152099737</v>
      </c>
      <c r="G78" s="426"/>
      <c r="H78" s="426"/>
    </row>
    <row r="79" spans="1:8" ht="25.5">
      <c r="A79" s="134" t="s">
        <v>906</v>
      </c>
      <c r="B79" s="436" t="s">
        <v>566</v>
      </c>
      <c r="C79" s="431"/>
      <c r="D79" s="429">
        <f>D80+D83</f>
        <v>69720403</v>
      </c>
      <c r="E79" s="545">
        <f>E80+E83</f>
        <v>69423201</v>
      </c>
      <c r="G79" s="426"/>
      <c r="H79" s="426"/>
    </row>
    <row r="80" spans="1:8" ht="76.5">
      <c r="A80" s="16" t="s">
        <v>630</v>
      </c>
      <c r="B80" s="436" t="s">
        <v>631</v>
      </c>
      <c r="C80" s="431" t="s">
        <v>99</v>
      </c>
      <c r="D80" s="429">
        <f>SUM(D81:D82)</f>
        <v>38143787</v>
      </c>
      <c r="E80" s="545">
        <f>SUM(E81:E82)</f>
        <v>38143787</v>
      </c>
      <c r="G80" s="426"/>
      <c r="H80" s="426"/>
    </row>
    <row r="81" spans="1:8" ht="51">
      <c r="A81" s="547" t="s">
        <v>104</v>
      </c>
      <c r="B81" s="436" t="s">
        <v>631</v>
      </c>
      <c r="C81" s="431" t="s">
        <v>27</v>
      </c>
      <c r="D81" s="433">
        <v>37725152</v>
      </c>
      <c r="E81" s="548">
        <v>37725152</v>
      </c>
      <c r="G81" s="426"/>
      <c r="H81" s="426"/>
    </row>
    <row r="82" spans="1:8" ht="25.5">
      <c r="A82" s="547" t="s">
        <v>482</v>
      </c>
      <c r="B82" s="436" t="s">
        <v>631</v>
      </c>
      <c r="C82" s="431" t="s">
        <v>600</v>
      </c>
      <c r="D82" s="433">
        <v>418635</v>
      </c>
      <c r="E82" s="548">
        <v>418635</v>
      </c>
      <c r="G82" s="426"/>
      <c r="H82" s="426"/>
    </row>
    <row r="83" spans="1:8" ht="25.5">
      <c r="A83" s="546" t="s">
        <v>126</v>
      </c>
      <c r="B83" s="436" t="s">
        <v>632</v>
      </c>
      <c r="C83" s="431"/>
      <c r="D83" s="429">
        <f>SUM(D84:D86)</f>
        <v>31576616</v>
      </c>
      <c r="E83" s="545">
        <f>SUM(E84:E86)</f>
        <v>31279414</v>
      </c>
      <c r="G83" s="426"/>
      <c r="H83" s="426"/>
    </row>
    <row r="84" spans="1:8" ht="51">
      <c r="A84" s="547" t="s">
        <v>104</v>
      </c>
      <c r="B84" s="436" t="s">
        <v>632</v>
      </c>
      <c r="C84" s="431">
        <v>100</v>
      </c>
      <c r="D84" s="433">
        <v>9079450</v>
      </c>
      <c r="E84" s="548">
        <f>6979964+1802284</f>
        <v>8782248</v>
      </c>
      <c r="G84" s="426"/>
      <c r="H84" s="426"/>
    </row>
    <row r="85" spans="1:8" ht="25.5">
      <c r="A85" s="547" t="s">
        <v>482</v>
      </c>
      <c r="B85" s="436" t="s">
        <v>632</v>
      </c>
      <c r="C85" s="431">
        <v>200</v>
      </c>
      <c r="D85" s="433">
        <v>20148176</v>
      </c>
      <c r="E85" s="548">
        <v>20148176</v>
      </c>
      <c r="G85" s="426"/>
      <c r="H85" s="426"/>
    </row>
    <row r="86" spans="1:8" ht="12.75">
      <c r="A86" s="547" t="s">
        <v>89</v>
      </c>
      <c r="B86" s="436" t="s">
        <v>632</v>
      </c>
      <c r="C86" s="431">
        <v>800</v>
      </c>
      <c r="D86" s="433">
        <v>2348990</v>
      </c>
      <c r="E86" s="548">
        <v>2348990</v>
      </c>
      <c r="G86" s="426"/>
      <c r="H86" s="426"/>
    </row>
    <row r="87" spans="1:8" ht="25.5">
      <c r="A87" s="134" t="s">
        <v>907</v>
      </c>
      <c r="B87" s="436" t="s">
        <v>141</v>
      </c>
      <c r="C87" s="431"/>
      <c r="D87" s="429">
        <f>D88+D91</f>
        <v>4107872</v>
      </c>
      <c r="E87" s="545">
        <f>E88+E91</f>
        <v>4107872</v>
      </c>
      <c r="G87" s="426"/>
      <c r="H87" s="426"/>
    </row>
    <row r="88" spans="1:8" ht="12.75">
      <c r="A88" s="547" t="s">
        <v>658</v>
      </c>
      <c r="B88" s="436" t="s">
        <v>413</v>
      </c>
      <c r="C88" s="431"/>
      <c r="D88" s="429">
        <f>SUM(D89:D90)</f>
        <v>3907872</v>
      </c>
      <c r="E88" s="545">
        <f>SUM(E89:E90)</f>
        <v>3907872</v>
      </c>
      <c r="G88" s="426"/>
      <c r="H88" s="426"/>
    </row>
    <row r="89" spans="1:8" ht="25.5">
      <c r="A89" s="547" t="s">
        <v>482</v>
      </c>
      <c r="B89" s="436" t="s">
        <v>413</v>
      </c>
      <c r="C89" s="431">
        <v>200</v>
      </c>
      <c r="D89" s="433">
        <v>15570</v>
      </c>
      <c r="E89" s="548">
        <v>15570</v>
      </c>
      <c r="G89" s="426"/>
      <c r="H89" s="426"/>
    </row>
    <row r="90" spans="1:8" ht="12.75">
      <c r="A90" s="547" t="s">
        <v>93</v>
      </c>
      <c r="B90" s="436" t="s">
        <v>413</v>
      </c>
      <c r="C90" s="431">
        <v>300</v>
      </c>
      <c r="D90" s="433">
        <v>3892302</v>
      </c>
      <c r="E90" s="548">
        <v>3892302</v>
      </c>
      <c r="G90" s="426"/>
      <c r="H90" s="426"/>
    </row>
    <row r="91" spans="1:8" ht="25.5">
      <c r="A91" s="137" t="s">
        <v>500</v>
      </c>
      <c r="B91" s="436" t="s">
        <v>662</v>
      </c>
      <c r="C91" s="431"/>
      <c r="D91" s="429">
        <f>D92</f>
        <v>200000</v>
      </c>
      <c r="E91" s="545">
        <f>E92</f>
        <v>200000</v>
      </c>
      <c r="G91" s="426"/>
      <c r="H91" s="426"/>
    </row>
    <row r="92" spans="1:8" ht="25.5">
      <c r="A92" s="547" t="s">
        <v>482</v>
      </c>
      <c r="B92" s="436" t="s">
        <v>662</v>
      </c>
      <c r="C92" s="431">
        <v>200</v>
      </c>
      <c r="D92" s="433">
        <v>200000</v>
      </c>
      <c r="E92" s="548">
        <v>200000</v>
      </c>
      <c r="G92" s="426"/>
      <c r="H92" s="426"/>
    </row>
    <row r="93" spans="1:8" ht="25.5">
      <c r="A93" s="134" t="s">
        <v>908</v>
      </c>
      <c r="B93" s="436" t="s">
        <v>633</v>
      </c>
      <c r="C93" s="431"/>
      <c r="D93" s="429">
        <f>D94+D96</f>
        <v>76118414</v>
      </c>
      <c r="E93" s="545">
        <f>E94+E96</f>
        <v>76118414</v>
      </c>
      <c r="G93" s="426"/>
      <c r="H93" s="426"/>
    </row>
    <row r="94" spans="1:8" ht="78" customHeight="1">
      <c r="A94" s="16" t="s">
        <v>430</v>
      </c>
      <c r="B94" s="436" t="s">
        <v>634</v>
      </c>
      <c r="C94" s="431" t="s">
        <v>99</v>
      </c>
      <c r="D94" s="429">
        <f>D95</f>
        <v>64095685</v>
      </c>
      <c r="E94" s="545">
        <f>E95</f>
        <v>64095685</v>
      </c>
      <c r="G94" s="426"/>
      <c r="H94" s="426"/>
    </row>
    <row r="95" spans="1:8" ht="25.5">
      <c r="A95" s="547" t="s">
        <v>102</v>
      </c>
      <c r="B95" s="436" t="s">
        <v>634</v>
      </c>
      <c r="C95" s="431">
        <v>600</v>
      </c>
      <c r="D95" s="433">
        <v>64095685</v>
      </c>
      <c r="E95" s="548">
        <v>64095685</v>
      </c>
      <c r="G95" s="426"/>
      <c r="H95" s="426"/>
    </row>
    <row r="96" spans="1:8" ht="25.5">
      <c r="A96" s="546" t="s">
        <v>126</v>
      </c>
      <c r="B96" s="436" t="s">
        <v>635</v>
      </c>
      <c r="C96" s="431"/>
      <c r="D96" s="429">
        <f>D97</f>
        <v>12022729</v>
      </c>
      <c r="E96" s="545">
        <f>E97</f>
        <v>12022729</v>
      </c>
      <c r="G96" s="426"/>
      <c r="H96" s="426"/>
    </row>
    <row r="97" spans="1:8" ht="25.5">
      <c r="A97" s="547" t="s">
        <v>102</v>
      </c>
      <c r="B97" s="436" t="s">
        <v>635</v>
      </c>
      <c r="C97" s="431">
        <v>600</v>
      </c>
      <c r="D97" s="433">
        <f>11060715+962014</f>
        <v>12022729</v>
      </c>
      <c r="E97" s="548">
        <f>11060715+962014</f>
        <v>12022729</v>
      </c>
      <c r="G97" s="426"/>
      <c r="H97" s="426"/>
    </row>
    <row r="98" spans="1:8" ht="12.75">
      <c r="A98" s="134" t="s">
        <v>909</v>
      </c>
      <c r="B98" s="436" t="s">
        <v>636</v>
      </c>
      <c r="C98" s="431"/>
      <c r="D98" s="429">
        <f>D99+D101</f>
        <v>2450250</v>
      </c>
      <c r="E98" s="545">
        <f>E99+E101</f>
        <v>2450250</v>
      </c>
      <c r="G98" s="426"/>
      <c r="H98" s="426"/>
    </row>
    <row r="99" spans="1:8" ht="25.5">
      <c r="A99" s="134" t="s">
        <v>500</v>
      </c>
      <c r="B99" s="436" t="s">
        <v>501</v>
      </c>
      <c r="C99" s="436"/>
      <c r="D99" s="471">
        <v>800000</v>
      </c>
      <c r="E99" s="556">
        <v>800000</v>
      </c>
      <c r="G99" s="426"/>
      <c r="H99" s="426"/>
    </row>
    <row r="100" spans="1:8" ht="25.5">
      <c r="A100" s="134" t="s">
        <v>102</v>
      </c>
      <c r="B100" s="436" t="s">
        <v>501</v>
      </c>
      <c r="C100" s="436">
        <v>600</v>
      </c>
      <c r="D100" s="471">
        <v>800000</v>
      </c>
      <c r="E100" s="556">
        <v>800000</v>
      </c>
      <c r="G100" s="426"/>
      <c r="H100" s="426"/>
    </row>
    <row r="101" spans="1:8" ht="51">
      <c r="A101" s="30" t="s">
        <v>930</v>
      </c>
      <c r="B101" s="436" t="s">
        <v>637</v>
      </c>
      <c r="C101" s="431"/>
      <c r="D101" s="429">
        <f>D102</f>
        <v>1650250</v>
      </c>
      <c r="E101" s="545">
        <f>E102</f>
        <v>1650250</v>
      </c>
      <c r="G101" s="426"/>
      <c r="H101" s="426"/>
    </row>
    <row r="102" spans="1:8" ht="25.5">
      <c r="A102" s="547" t="s">
        <v>102</v>
      </c>
      <c r="B102" s="436" t="s">
        <v>637</v>
      </c>
      <c r="C102" s="431">
        <v>600</v>
      </c>
      <c r="D102" s="433">
        <v>1650250</v>
      </c>
      <c r="E102" s="548">
        <v>1650250</v>
      </c>
      <c r="G102" s="426"/>
      <c r="H102" s="426"/>
    </row>
    <row r="103" spans="1:8" ht="38.25">
      <c r="A103" s="544" t="s">
        <v>809</v>
      </c>
      <c r="B103" s="437" t="s">
        <v>638</v>
      </c>
      <c r="C103" s="431" t="s">
        <v>99</v>
      </c>
      <c r="D103" s="429">
        <f>D104</f>
        <v>15685970.5</v>
      </c>
      <c r="E103" s="545">
        <f>E104</f>
        <v>15195402.5</v>
      </c>
      <c r="G103" s="426"/>
      <c r="H103" s="426"/>
    </row>
    <row r="104" spans="1:8" ht="25.5">
      <c r="A104" s="134" t="s">
        <v>910</v>
      </c>
      <c r="B104" s="436" t="s">
        <v>639</v>
      </c>
      <c r="C104" s="431"/>
      <c r="D104" s="429">
        <f>D105</f>
        <v>15685970.5</v>
      </c>
      <c r="E104" s="545">
        <f>E105</f>
        <v>15195402.5</v>
      </c>
      <c r="G104" s="426"/>
      <c r="H104" s="426"/>
    </row>
    <row r="105" spans="1:8" ht="25.5">
      <c r="A105" s="546" t="s">
        <v>126</v>
      </c>
      <c r="B105" s="436" t="s">
        <v>640</v>
      </c>
      <c r="C105" s="431" t="s">
        <v>99</v>
      </c>
      <c r="D105" s="429">
        <f>SUM(D106:D108)</f>
        <v>15685970.5</v>
      </c>
      <c r="E105" s="545">
        <f>SUM(E106:E108)</f>
        <v>15195402.5</v>
      </c>
      <c r="G105" s="426"/>
      <c r="H105" s="426"/>
    </row>
    <row r="106" spans="1:8" ht="51">
      <c r="A106" s="547" t="s">
        <v>104</v>
      </c>
      <c r="B106" s="436" t="s">
        <v>640</v>
      </c>
      <c r="C106" s="431">
        <v>100</v>
      </c>
      <c r="D106" s="433">
        <v>14986722</v>
      </c>
      <c r="E106" s="548">
        <f>11460677+3035477</f>
        <v>14496154</v>
      </c>
      <c r="G106" s="426"/>
      <c r="H106" s="426"/>
    </row>
    <row r="107" spans="1:8" ht="25.5">
      <c r="A107" s="547" t="s">
        <v>482</v>
      </c>
      <c r="B107" s="436" t="s">
        <v>640</v>
      </c>
      <c r="C107" s="431">
        <v>200</v>
      </c>
      <c r="D107" s="433">
        <f>517940.5+47565</f>
        <v>565505.5</v>
      </c>
      <c r="E107" s="548">
        <f>517940.5+47565</f>
        <v>565505.5</v>
      </c>
      <c r="G107" s="426"/>
      <c r="H107" s="426"/>
    </row>
    <row r="108" spans="1:8" ht="12.75">
      <c r="A108" s="557" t="s">
        <v>89</v>
      </c>
      <c r="B108" s="558" t="s">
        <v>640</v>
      </c>
      <c r="C108" s="559">
        <v>800</v>
      </c>
      <c r="D108" s="560">
        <v>133743</v>
      </c>
      <c r="E108" s="561">
        <v>133743</v>
      </c>
      <c r="G108" s="426"/>
      <c r="H108" s="426"/>
    </row>
    <row r="109" spans="1:8" ht="38.25">
      <c r="A109" s="539" t="s">
        <v>476</v>
      </c>
      <c r="B109" s="540" t="s">
        <v>814</v>
      </c>
      <c r="C109" s="541" t="s">
        <v>99</v>
      </c>
      <c r="D109" s="542">
        <f aca="true" t="shared" si="0" ref="D109:E111">D110</f>
        <v>321645.5</v>
      </c>
      <c r="E109" s="543">
        <f t="shared" si="0"/>
        <v>321645.5</v>
      </c>
      <c r="G109" s="426"/>
      <c r="H109" s="426"/>
    </row>
    <row r="110" spans="1:8" ht="63.75">
      <c r="A110" s="562" t="s">
        <v>872</v>
      </c>
      <c r="B110" s="436" t="s">
        <v>815</v>
      </c>
      <c r="C110" s="438" t="s">
        <v>99</v>
      </c>
      <c r="D110" s="429">
        <f t="shared" si="0"/>
        <v>321645.5</v>
      </c>
      <c r="E110" s="545">
        <f t="shared" si="0"/>
        <v>321645.5</v>
      </c>
      <c r="G110" s="426"/>
      <c r="H110" s="426"/>
    </row>
    <row r="111" spans="1:8" ht="38.25">
      <c r="A111" s="130" t="s">
        <v>844</v>
      </c>
      <c r="B111" s="436" t="s">
        <v>816</v>
      </c>
      <c r="C111" s="438"/>
      <c r="D111" s="429">
        <f t="shared" si="0"/>
        <v>321645.5</v>
      </c>
      <c r="E111" s="545">
        <f t="shared" si="0"/>
        <v>321645.5</v>
      </c>
      <c r="G111" s="426"/>
      <c r="H111" s="426"/>
    </row>
    <row r="112" spans="1:8" ht="12.75">
      <c r="A112" s="546" t="s">
        <v>612</v>
      </c>
      <c r="B112" s="436" t="s">
        <v>817</v>
      </c>
      <c r="C112" s="438" t="s">
        <v>99</v>
      </c>
      <c r="D112" s="429">
        <f>SUM(D113:D114)</f>
        <v>321645.5</v>
      </c>
      <c r="E112" s="545">
        <f>SUM(E113:E114)</f>
        <v>321645.5</v>
      </c>
      <c r="G112" s="426"/>
      <c r="H112" s="426"/>
    </row>
    <row r="113" spans="1:8" ht="25.5">
      <c r="A113" s="547" t="s">
        <v>482</v>
      </c>
      <c r="B113" s="436" t="s">
        <v>817</v>
      </c>
      <c r="C113" s="431" t="s">
        <v>600</v>
      </c>
      <c r="D113" s="433">
        <f>261068+27080</f>
        <v>288148</v>
      </c>
      <c r="E113" s="548">
        <f>261068+27080</f>
        <v>288148</v>
      </c>
      <c r="G113" s="426"/>
      <c r="H113" s="426"/>
    </row>
    <row r="114" spans="1:8" ht="12.75">
      <c r="A114" s="557" t="s">
        <v>89</v>
      </c>
      <c r="B114" s="558" t="s">
        <v>817</v>
      </c>
      <c r="C114" s="559">
        <v>800</v>
      </c>
      <c r="D114" s="560">
        <v>33497.5</v>
      </c>
      <c r="E114" s="561">
        <v>33497.5</v>
      </c>
      <c r="G114" s="426"/>
      <c r="H114" s="426"/>
    </row>
    <row r="115" spans="1:8" ht="38.25">
      <c r="A115" s="563" t="s">
        <v>50</v>
      </c>
      <c r="B115" s="564" t="s">
        <v>49</v>
      </c>
      <c r="C115" s="565"/>
      <c r="D115" s="566">
        <f aca="true" t="shared" si="1" ref="D115:E118">D116</f>
        <v>210000</v>
      </c>
      <c r="E115" s="567">
        <f t="shared" si="1"/>
        <v>210000</v>
      </c>
      <c r="G115" s="426"/>
      <c r="H115" s="426"/>
    </row>
    <row r="116" spans="1:8" ht="51">
      <c r="A116" s="568" t="s">
        <v>48</v>
      </c>
      <c r="B116" s="569" t="s">
        <v>525</v>
      </c>
      <c r="C116" s="570"/>
      <c r="D116" s="571">
        <f t="shared" si="1"/>
        <v>210000</v>
      </c>
      <c r="E116" s="572">
        <f t="shared" si="1"/>
        <v>210000</v>
      </c>
      <c r="G116" s="426"/>
      <c r="H116" s="426"/>
    </row>
    <row r="117" spans="1:8" ht="25.5">
      <c r="A117" s="138" t="s">
        <v>524</v>
      </c>
      <c r="B117" s="573" t="s">
        <v>523</v>
      </c>
      <c r="C117" s="570"/>
      <c r="D117" s="571">
        <f t="shared" si="1"/>
        <v>210000</v>
      </c>
      <c r="E117" s="572">
        <f t="shared" si="1"/>
        <v>210000</v>
      </c>
      <c r="G117" s="426"/>
      <c r="H117" s="426"/>
    </row>
    <row r="118" spans="1:8" ht="25.5">
      <c r="A118" s="139" t="s">
        <v>522</v>
      </c>
      <c r="B118" s="573" t="s">
        <v>521</v>
      </c>
      <c r="C118" s="570"/>
      <c r="D118" s="571">
        <f t="shared" si="1"/>
        <v>210000</v>
      </c>
      <c r="E118" s="572">
        <f t="shared" si="1"/>
        <v>210000</v>
      </c>
      <c r="G118" s="426"/>
      <c r="H118" s="426"/>
    </row>
    <row r="119" spans="1:8" ht="25.5">
      <c r="A119" s="574" t="s">
        <v>482</v>
      </c>
      <c r="B119" s="575" t="s">
        <v>521</v>
      </c>
      <c r="C119" s="576">
        <v>200</v>
      </c>
      <c r="D119" s="577">
        <v>210000</v>
      </c>
      <c r="E119" s="578">
        <v>210000</v>
      </c>
      <c r="G119" s="426"/>
      <c r="H119" s="426"/>
    </row>
    <row r="120" spans="1:8" ht="51">
      <c r="A120" s="539" t="s">
        <v>480</v>
      </c>
      <c r="B120" s="540" t="s">
        <v>839</v>
      </c>
      <c r="C120" s="541"/>
      <c r="D120" s="542">
        <f>D121</f>
        <v>6932891</v>
      </c>
      <c r="E120" s="543">
        <f>E121</f>
        <v>3030795</v>
      </c>
      <c r="G120" s="426"/>
      <c r="H120" s="426"/>
    </row>
    <row r="121" spans="1:8" ht="63.75">
      <c r="A121" s="544" t="s">
        <v>481</v>
      </c>
      <c r="B121" s="437" t="s">
        <v>563</v>
      </c>
      <c r="C121" s="464"/>
      <c r="D121" s="429">
        <f>D122+D125+D129</f>
        <v>6932891</v>
      </c>
      <c r="E121" s="545">
        <f>E122+E125+E129</f>
        <v>3030795</v>
      </c>
      <c r="G121" s="426"/>
      <c r="H121" s="426"/>
    </row>
    <row r="122" spans="1:8" ht="25.5">
      <c r="A122" s="134" t="s">
        <v>489</v>
      </c>
      <c r="B122" s="436" t="s">
        <v>53</v>
      </c>
      <c r="C122" s="464"/>
      <c r="D122" s="429">
        <f>D123</f>
        <v>200000</v>
      </c>
      <c r="E122" s="545">
        <f>E123</f>
        <v>200000</v>
      </c>
      <c r="G122" s="426"/>
      <c r="H122" s="426"/>
    </row>
    <row r="123" spans="1:8" ht="24">
      <c r="A123" s="131" t="s">
        <v>52</v>
      </c>
      <c r="B123" s="436" t="s">
        <v>51</v>
      </c>
      <c r="C123" s="464"/>
      <c r="D123" s="429">
        <f>SUM(D124:D124)</f>
        <v>200000</v>
      </c>
      <c r="E123" s="545">
        <f>SUM(E124:E124)</f>
        <v>200000</v>
      </c>
      <c r="G123" s="426"/>
      <c r="H123" s="426"/>
    </row>
    <row r="124" spans="1:8" ht="25.5">
      <c r="A124" s="547" t="s">
        <v>482</v>
      </c>
      <c r="B124" s="436" t="s">
        <v>51</v>
      </c>
      <c r="C124" s="431">
        <v>200</v>
      </c>
      <c r="D124" s="433">
        <v>200000</v>
      </c>
      <c r="E124" s="548">
        <v>200000</v>
      </c>
      <c r="G124" s="426"/>
      <c r="H124" s="426"/>
    </row>
    <row r="125" spans="1:8" ht="25.5">
      <c r="A125" s="134" t="s">
        <v>527</v>
      </c>
      <c r="B125" s="436" t="s">
        <v>904</v>
      </c>
      <c r="C125" s="431"/>
      <c r="D125" s="429">
        <f>D126</f>
        <v>6391440</v>
      </c>
      <c r="E125" s="545">
        <f>E126</f>
        <v>2830795</v>
      </c>
      <c r="G125" s="426"/>
      <c r="H125" s="426"/>
    </row>
    <row r="126" spans="1:8" ht="12.75">
      <c r="A126" s="136" t="s">
        <v>515</v>
      </c>
      <c r="B126" s="436" t="s">
        <v>905</v>
      </c>
      <c r="C126" s="431" t="s">
        <v>99</v>
      </c>
      <c r="D126" s="429">
        <f>SUM(D127:D128)</f>
        <v>6391440</v>
      </c>
      <c r="E126" s="545">
        <f>SUM(E127:E128)</f>
        <v>2830795</v>
      </c>
      <c r="G126" s="426"/>
      <c r="H126" s="426"/>
    </row>
    <row r="127" spans="1:8" ht="25.5">
      <c r="A127" s="547" t="s">
        <v>482</v>
      </c>
      <c r="B127" s="436" t="s">
        <v>905</v>
      </c>
      <c r="C127" s="431">
        <v>200</v>
      </c>
      <c r="D127" s="433">
        <f>936870+114326</f>
        <v>1051196</v>
      </c>
      <c r="E127" s="548">
        <f>936870+114326</f>
        <v>1051196</v>
      </c>
      <c r="G127" s="426"/>
      <c r="H127" s="426"/>
    </row>
    <row r="128" spans="1:8" ht="12.75">
      <c r="A128" s="547" t="s">
        <v>89</v>
      </c>
      <c r="B128" s="436" t="s">
        <v>905</v>
      </c>
      <c r="C128" s="431">
        <v>800</v>
      </c>
      <c r="D128" s="433">
        <f>5099695+240549</f>
        <v>5340244</v>
      </c>
      <c r="E128" s="548">
        <f>1197599+582000</f>
        <v>1779599</v>
      </c>
      <c r="G128" s="426"/>
      <c r="H128" s="426"/>
    </row>
    <row r="129" spans="1:8" ht="25.5">
      <c r="A129" s="134" t="s">
        <v>520</v>
      </c>
      <c r="B129" s="436" t="s">
        <v>529</v>
      </c>
      <c r="C129" s="464"/>
      <c r="D129" s="429">
        <f>D130</f>
        <v>341451</v>
      </c>
      <c r="E129" s="545">
        <f>E130</f>
        <v>0</v>
      </c>
      <c r="G129" s="426"/>
      <c r="H129" s="426"/>
    </row>
    <row r="130" spans="1:8" ht="12.75">
      <c r="A130" s="547" t="s">
        <v>466</v>
      </c>
      <c r="B130" s="436" t="s">
        <v>528</v>
      </c>
      <c r="C130" s="464"/>
      <c r="D130" s="429">
        <f>D131</f>
        <v>341451</v>
      </c>
      <c r="E130" s="545">
        <f>E131</f>
        <v>0</v>
      </c>
      <c r="G130" s="426"/>
      <c r="H130" s="426"/>
    </row>
    <row r="131" spans="1:8" ht="25.5">
      <c r="A131" s="579" t="s">
        <v>482</v>
      </c>
      <c r="B131" s="489" t="s">
        <v>528</v>
      </c>
      <c r="C131" s="488">
        <v>200</v>
      </c>
      <c r="D131" s="490">
        <f>582000-240549</f>
        <v>341451</v>
      </c>
      <c r="E131" s="550">
        <v>0</v>
      </c>
      <c r="G131" s="426"/>
      <c r="H131" s="426"/>
    </row>
    <row r="132" spans="1:8" ht="38.25">
      <c r="A132" s="551" t="s">
        <v>313</v>
      </c>
      <c r="B132" s="552" t="s">
        <v>312</v>
      </c>
      <c r="C132" s="423" t="s">
        <v>99</v>
      </c>
      <c r="D132" s="469">
        <f>D133+D143</f>
        <v>876952</v>
      </c>
      <c r="E132" s="553">
        <f>E133+E143</f>
        <v>876952</v>
      </c>
      <c r="G132" s="426"/>
      <c r="H132" s="426"/>
    </row>
    <row r="133" spans="1:8" ht="65.25" customHeight="1">
      <c r="A133" s="15" t="s">
        <v>526</v>
      </c>
      <c r="B133" s="437" t="s">
        <v>629</v>
      </c>
      <c r="C133" s="431" t="s">
        <v>99</v>
      </c>
      <c r="D133" s="429">
        <f>D134+D140</f>
        <v>866600</v>
      </c>
      <c r="E133" s="545">
        <f>E134+E140</f>
        <v>866600</v>
      </c>
      <c r="G133" s="426"/>
      <c r="H133" s="426"/>
    </row>
    <row r="134" spans="1:8" ht="25.5">
      <c r="A134" s="136" t="s">
        <v>628</v>
      </c>
      <c r="B134" s="436" t="s">
        <v>627</v>
      </c>
      <c r="C134" s="431"/>
      <c r="D134" s="429">
        <f>D135+D137</f>
        <v>856600</v>
      </c>
      <c r="E134" s="545">
        <f>E135+E137</f>
        <v>856600</v>
      </c>
      <c r="G134" s="426"/>
      <c r="H134" s="426"/>
    </row>
    <row r="135" spans="1:8" ht="12.75">
      <c r="A135" s="136" t="s">
        <v>626</v>
      </c>
      <c r="B135" s="436" t="s">
        <v>625</v>
      </c>
      <c r="C135" s="431"/>
      <c r="D135" s="429">
        <f>D136</f>
        <v>12000</v>
      </c>
      <c r="E135" s="545">
        <f>E136</f>
        <v>12000</v>
      </c>
      <c r="G135" s="426"/>
      <c r="H135" s="426"/>
    </row>
    <row r="136" spans="1:8" ht="25.5">
      <c r="A136" s="547" t="s">
        <v>102</v>
      </c>
      <c r="B136" s="436" t="s">
        <v>625</v>
      </c>
      <c r="C136" s="431">
        <v>600</v>
      </c>
      <c r="D136" s="433">
        <v>12000</v>
      </c>
      <c r="E136" s="548">
        <v>12000</v>
      </c>
      <c r="G136" s="426"/>
      <c r="H136" s="426"/>
    </row>
    <row r="137" spans="1:8" ht="25.5">
      <c r="A137" s="137" t="s">
        <v>131</v>
      </c>
      <c r="B137" s="436" t="s">
        <v>132</v>
      </c>
      <c r="C137" s="432"/>
      <c r="D137" s="429">
        <f>D138+D139</f>
        <v>844600</v>
      </c>
      <c r="E137" s="545">
        <f>E138+E139</f>
        <v>844600</v>
      </c>
      <c r="G137" s="426"/>
      <c r="H137" s="426"/>
    </row>
    <row r="138" spans="1:8" ht="12.75">
      <c r="A138" s="547" t="s">
        <v>93</v>
      </c>
      <c r="B138" s="436" t="s">
        <v>132</v>
      </c>
      <c r="C138" s="432">
        <v>300</v>
      </c>
      <c r="D138" s="429">
        <v>460355</v>
      </c>
      <c r="E138" s="545">
        <v>460355</v>
      </c>
      <c r="G138" s="426"/>
      <c r="H138" s="426"/>
    </row>
    <row r="139" spans="1:8" ht="25.5">
      <c r="A139" s="547" t="s">
        <v>102</v>
      </c>
      <c r="B139" s="436" t="s">
        <v>132</v>
      </c>
      <c r="C139" s="432">
        <v>600</v>
      </c>
      <c r="D139" s="433">
        <v>384245</v>
      </c>
      <c r="E139" s="548">
        <v>384245</v>
      </c>
      <c r="G139" s="426"/>
      <c r="H139" s="426"/>
    </row>
    <row r="140" spans="1:8" ht="38.25">
      <c r="A140" s="136" t="s">
        <v>72</v>
      </c>
      <c r="B140" s="436" t="s">
        <v>73</v>
      </c>
      <c r="C140" s="431"/>
      <c r="D140" s="429">
        <f>D141</f>
        <v>10000</v>
      </c>
      <c r="E140" s="545">
        <f>E141</f>
        <v>10000</v>
      </c>
      <c r="G140" s="426"/>
      <c r="H140" s="426"/>
    </row>
    <row r="141" spans="1:8" ht="12.75">
      <c r="A141" s="136" t="s">
        <v>75</v>
      </c>
      <c r="B141" s="436" t="s">
        <v>74</v>
      </c>
      <c r="C141" s="431"/>
      <c r="D141" s="429">
        <f>D142</f>
        <v>10000</v>
      </c>
      <c r="E141" s="545">
        <f>E142</f>
        <v>10000</v>
      </c>
      <c r="G141" s="426"/>
      <c r="H141" s="426"/>
    </row>
    <row r="142" spans="1:8" ht="25.5">
      <c r="A142" s="547" t="s">
        <v>482</v>
      </c>
      <c r="B142" s="436" t="s">
        <v>74</v>
      </c>
      <c r="C142" s="431">
        <v>200</v>
      </c>
      <c r="D142" s="471">
        <v>10000</v>
      </c>
      <c r="E142" s="556">
        <v>10000</v>
      </c>
      <c r="G142" s="426"/>
      <c r="H142" s="426"/>
    </row>
    <row r="143" spans="1:8" ht="63.75">
      <c r="A143" s="544" t="s">
        <v>311</v>
      </c>
      <c r="B143" s="436" t="s">
        <v>418</v>
      </c>
      <c r="C143" s="438" t="s">
        <v>99</v>
      </c>
      <c r="D143" s="429">
        <f aca="true" t="shared" si="2" ref="D143:E145">D144</f>
        <v>10352</v>
      </c>
      <c r="E143" s="545">
        <f t="shared" si="2"/>
        <v>10352</v>
      </c>
      <c r="G143" s="426"/>
      <c r="H143" s="426"/>
    </row>
    <row r="144" spans="1:8" ht="51">
      <c r="A144" s="136" t="s">
        <v>417</v>
      </c>
      <c r="B144" s="436" t="s">
        <v>416</v>
      </c>
      <c r="C144" s="438"/>
      <c r="D144" s="429">
        <f t="shared" si="2"/>
        <v>10352</v>
      </c>
      <c r="E144" s="545">
        <f t="shared" si="2"/>
        <v>10352</v>
      </c>
      <c r="G144" s="426"/>
      <c r="H144" s="426"/>
    </row>
    <row r="145" spans="1:8" ht="38.25" customHeight="1">
      <c r="A145" s="136" t="s">
        <v>415</v>
      </c>
      <c r="B145" s="436" t="s">
        <v>414</v>
      </c>
      <c r="C145" s="438"/>
      <c r="D145" s="429">
        <f t="shared" si="2"/>
        <v>10352</v>
      </c>
      <c r="E145" s="545">
        <f t="shared" si="2"/>
        <v>10352</v>
      </c>
      <c r="G145" s="426"/>
      <c r="H145" s="426"/>
    </row>
    <row r="146" spans="1:8" ht="25.5">
      <c r="A146" s="557" t="s">
        <v>482</v>
      </c>
      <c r="B146" s="558" t="s">
        <v>414</v>
      </c>
      <c r="C146" s="559">
        <v>200</v>
      </c>
      <c r="D146" s="560">
        <v>10352</v>
      </c>
      <c r="E146" s="561">
        <v>10352</v>
      </c>
      <c r="G146" s="426"/>
      <c r="H146" s="426"/>
    </row>
    <row r="147" spans="1:8" ht="51">
      <c r="A147" s="539" t="s">
        <v>479</v>
      </c>
      <c r="B147" s="540" t="s">
        <v>836</v>
      </c>
      <c r="C147" s="580" t="s">
        <v>99</v>
      </c>
      <c r="D147" s="542">
        <f>D148+D155</f>
        <v>2656092</v>
      </c>
      <c r="E147" s="543">
        <f>E148+E155</f>
        <v>2656092</v>
      </c>
      <c r="G147" s="426"/>
      <c r="H147" s="426"/>
    </row>
    <row r="148" spans="1:8" ht="63.75">
      <c r="A148" s="15" t="s">
        <v>530</v>
      </c>
      <c r="B148" s="437" t="s">
        <v>488</v>
      </c>
      <c r="C148" s="438" t="s">
        <v>99</v>
      </c>
      <c r="D148" s="429">
        <f>D149+D152</f>
        <v>2156092</v>
      </c>
      <c r="E148" s="545">
        <f>E149+E152</f>
        <v>2156092</v>
      </c>
      <c r="G148" s="426"/>
      <c r="H148" s="426"/>
    </row>
    <row r="149" spans="1:8" ht="25.5">
      <c r="A149" s="130" t="s">
        <v>487</v>
      </c>
      <c r="B149" s="436" t="s">
        <v>486</v>
      </c>
      <c r="C149" s="438"/>
      <c r="D149" s="429">
        <f>D150</f>
        <v>186564</v>
      </c>
      <c r="E149" s="545">
        <f>E150</f>
        <v>186564</v>
      </c>
      <c r="G149" s="426"/>
      <c r="H149" s="426"/>
    </row>
    <row r="150" spans="1:8" ht="25.5">
      <c r="A150" s="136" t="s">
        <v>838</v>
      </c>
      <c r="B150" s="436" t="s">
        <v>485</v>
      </c>
      <c r="C150" s="438"/>
      <c r="D150" s="429">
        <f>D151</f>
        <v>186564</v>
      </c>
      <c r="E150" s="545">
        <f>E151</f>
        <v>186564</v>
      </c>
      <c r="G150" s="426"/>
      <c r="H150" s="426"/>
    </row>
    <row r="151" spans="1:8" ht="12.75">
      <c r="A151" s="547" t="s">
        <v>89</v>
      </c>
      <c r="B151" s="436" t="s">
        <v>485</v>
      </c>
      <c r="C151" s="431">
        <v>800</v>
      </c>
      <c r="D151" s="433">
        <v>186564</v>
      </c>
      <c r="E151" s="548">
        <v>186564</v>
      </c>
      <c r="G151" s="426"/>
      <c r="H151" s="426"/>
    </row>
    <row r="152" spans="1:8" ht="25.5">
      <c r="A152" s="130" t="s">
        <v>484</v>
      </c>
      <c r="B152" s="436" t="s">
        <v>420</v>
      </c>
      <c r="C152" s="438"/>
      <c r="D152" s="429">
        <f>D153</f>
        <v>1969528</v>
      </c>
      <c r="E152" s="545">
        <f>E153</f>
        <v>1969528</v>
      </c>
      <c r="G152" s="426"/>
      <c r="H152" s="426"/>
    </row>
    <row r="153" spans="1:8" ht="25.5">
      <c r="A153" s="136" t="s">
        <v>838</v>
      </c>
      <c r="B153" s="436" t="s">
        <v>491</v>
      </c>
      <c r="C153" s="431" t="s">
        <v>99</v>
      </c>
      <c r="D153" s="429">
        <f>D154</f>
        <v>1969528</v>
      </c>
      <c r="E153" s="545">
        <f>E154</f>
        <v>1969528</v>
      </c>
      <c r="G153" s="426"/>
      <c r="H153" s="426"/>
    </row>
    <row r="154" spans="1:8" ht="25.5">
      <c r="A154" s="547" t="s">
        <v>482</v>
      </c>
      <c r="B154" s="436" t="s">
        <v>491</v>
      </c>
      <c r="C154" s="431">
        <v>200</v>
      </c>
      <c r="D154" s="433">
        <v>1969528</v>
      </c>
      <c r="E154" s="548">
        <v>1969528</v>
      </c>
      <c r="G154" s="426"/>
      <c r="H154" s="426"/>
    </row>
    <row r="155" spans="1:8" ht="63.75">
      <c r="A155" s="29" t="s">
        <v>0</v>
      </c>
      <c r="B155" s="437" t="s">
        <v>837</v>
      </c>
      <c r="C155" s="431"/>
      <c r="D155" s="429">
        <f aca="true" t="shared" si="3" ref="D155:E157">D156</f>
        <v>500000</v>
      </c>
      <c r="E155" s="545">
        <f t="shared" si="3"/>
        <v>500000</v>
      </c>
      <c r="G155" s="426"/>
      <c r="H155" s="426"/>
    </row>
    <row r="156" spans="1:8" ht="51">
      <c r="A156" s="135" t="s">
        <v>216</v>
      </c>
      <c r="B156" s="436" t="s">
        <v>1</v>
      </c>
      <c r="C156" s="431"/>
      <c r="D156" s="429">
        <f t="shared" si="3"/>
        <v>500000</v>
      </c>
      <c r="E156" s="545">
        <f t="shared" si="3"/>
        <v>500000</v>
      </c>
      <c r="G156" s="426"/>
      <c r="H156" s="426"/>
    </row>
    <row r="157" spans="1:8" ht="25.5">
      <c r="A157" s="136" t="s">
        <v>32</v>
      </c>
      <c r="B157" s="436" t="s">
        <v>31</v>
      </c>
      <c r="C157" s="431"/>
      <c r="D157" s="429">
        <f t="shared" si="3"/>
        <v>500000</v>
      </c>
      <c r="E157" s="545">
        <f t="shared" si="3"/>
        <v>500000</v>
      </c>
      <c r="G157" s="426"/>
      <c r="H157" s="426"/>
    </row>
    <row r="158" spans="1:8" ht="12.75">
      <c r="A158" s="549" t="s">
        <v>89</v>
      </c>
      <c r="B158" s="457" t="s">
        <v>31</v>
      </c>
      <c r="C158" s="456">
        <v>800</v>
      </c>
      <c r="D158" s="458">
        <v>500000</v>
      </c>
      <c r="E158" s="555">
        <v>500000</v>
      </c>
      <c r="G158" s="426"/>
      <c r="H158" s="426"/>
    </row>
    <row r="159" spans="1:8" ht="51">
      <c r="A159" s="551" t="s">
        <v>931</v>
      </c>
      <c r="B159" s="423" t="s">
        <v>818</v>
      </c>
      <c r="C159" s="423"/>
      <c r="D159" s="469">
        <f aca="true" t="shared" si="4" ref="D159:E161">D160</f>
        <v>296000</v>
      </c>
      <c r="E159" s="553">
        <f t="shared" si="4"/>
        <v>296000</v>
      </c>
      <c r="G159" s="426"/>
      <c r="H159" s="426"/>
    </row>
    <row r="160" spans="1:8" ht="63.75">
      <c r="A160" s="544" t="s">
        <v>56</v>
      </c>
      <c r="B160" s="431" t="s">
        <v>819</v>
      </c>
      <c r="C160" s="431"/>
      <c r="D160" s="429">
        <f t="shared" si="4"/>
        <v>296000</v>
      </c>
      <c r="E160" s="545">
        <f t="shared" si="4"/>
        <v>296000</v>
      </c>
      <c r="G160" s="426"/>
      <c r="H160" s="426"/>
    </row>
    <row r="161" spans="1:8" ht="25.5">
      <c r="A161" s="547" t="s">
        <v>902</v>
      </c>
      <c r="B161" s="431" t="s">
        <v>454</v>
      </c>
      <c r="C161" s="431"/>
      <c r="D161" s="429">
        <f t="shared" si="4"/>
        <v>296000</v>
      </c>
      <c r="E161" s="545">
        <f t="shared" si="4"/>
        <v>296000</v>
      </c>
      <c r="G161" s="426"/>
      <c r="H161" s="426"/>
    </row>
    <row r="162" spans="1:8" ht="38.25">
      <c r="A162" s="430" t="s">
        <v>453</v>
      </c>
      <c r="B162" s="431" t="s">
        <v>901</v>
      </c>
      <c r="C162" s="431"/>
      <c r="D162" s="429">
        <f>SUM(D163:D164)</f>
        <v>296000</v>
      </c>
      <c r="E162" s="545">
        <f>SUM(E163:E164)</f>
        <v>296000</v>
      </c>
      <c r="G162" s="426"/>
      <c r="H162" s="426"/>
    </row>
    <row r="163" spans="1:8" ht="51">
      <c r="A163" s="547" t="s">
        <v>104</v>
      </c>
      <c r="B163" s="431" t="s">
        <v>901</v>
      </c>
      <c r="C163" s="431">
        <v>100</v>
      </c>
      <c r="D163" s="433">
        <f>286475.15+3800</f>
        <v>290275.15</v>
      </c>
      <c r="E163" s="433">
        <f>286475.15+3800</f>
        <v>290275.15</v>
      </c>
      <c r="G163" s="426"/>
      <c r="H163" s="426"/>
    </row>
    <row r="164" spans="1:8" ht="25.5">
      <c r="A164" s="549" t="s">
        <v>482</v>
      </c>
      <c r="B164" s="456" t="s">
        <v>901</v>
      </c>
      <c r="C164" s="456">
        <v>200</v>
      </c>
      <c r="D164" s="458">
        <v>5724.85</v>
      </c>
      <c r="E164" s="555">
        <v>5724.85</v>
      </c>
      <c r="G164" s="426"/>
      <c r="H164" s="426"/>
    </row>
    <row r="165" spans="1:8" ht="51">
      <c r="A165" s="551" t="s">
        <v>57</v>
      </c>
      <c r="B165" s="552" t="s">
        <v>825</v>
      </c>
      <c r="C165" s="423" t="s">
        <v>99</v>
      </c>
      <c r="D165" s="469">
        <f aca="true" t="shared" si="5" ref="D165:E167">D166</f>
        <v>1208827</v>
      </c>
      <c r="E165" s="553">
        <f t="shared" si="5"/>
        <v>1172605</v>
      </c>
      <c r="G165" s="426"/>
      <c r="H165" s="426"/>
    </row>
    <row r="166" spans="1:8" ht="76.5">
      <c r="A166" s="29" t="s">
        <v>455</v>
      </c>
      <c r="B166" s="436" t="s">
        <v>826</v>
      </c>
      <c r="C166" s="431"/>
      <c r="D166" s="429">
        <f t="shared" si="5"/>
        <v>1208827</v>
      </c>
      <c r="E166" s="545">
        <f t="shared" si="5"/>
        <v>1172605</v>
      </c>
      <c r="G166" s="426"/>
      <c r="H166" s="426"/>
    </row>
    <row r="167" spans="1:8" ht="51">
      <c r="A167" s="140" t="s">
        <v>429</v>
      </c>
      <c r="B167" s="436" t="s">
        <v>831</v>
      </c>
      <c r="C167" s="431"/>
      <c r="D167" s="429">
        <f t="shared" si="5"/>
        <v>1208827</v>
      </c>
      <c r="E167" s="545">
        <f t="shared" si="5"/>
        <v>1172605</v>
      </c>
      <c r="G167" s="426"/>
      <c r="H167" s="426"/>
    </row>
    <row r="168" spans="1:8" ht="25.5">
      <c r="A168" s="546" t="s">
        <v>126</v>
      </c>
      <c r="B168" s="436" t="s">
        <v>832</v>
      </c>
      <c r="C168" s="431" t="s">
        <v>99</v>
      </c>
      <c r="D168" s="429">
        <f>SUM(D169:D171)</f>
        <v>1208827</v>
      </c>
      <c r="E168" s="545">
        <f>SUM(E169:E171)</f>
        <v>1172605</v>
      </c>
      <c r="G168" s="426"/>
      <c r="H168" s="426"/>
    </row>
    <row r="169" spans="1:8" ht="51">
      <c r="A169" s="547" t="s">
        <v>104</v>
      </c>
      <c r="B169" s="436" t="s">
        <v>832</v>
      </c>
      <c r="C169" s="431" t="s">
        <v>27</v>
      </c>
      <c r="D169" s="433">
        <v>1106571</v>
      </c>
      <c r="E169" s="548">
        <f>845467+224882</f>
        <v>1070349</v>
      </c>
      <c r="G169" s="426"/>
      <c r="H169" s="426"/>
    </row>
    <row r="170" spans="1:8" ht="25.5">
      <c r="A170" s="547" t="s">
        <v>482</v>
      </c>
      <c r="B170" s="436" t="s">
        <v>832</v>
      </c>
      <c r="C170" s="431" t="s">
        <v>600</v>
      </c>
      <c r="D170" s="433">
        <f>93879+6554</f>
        <v>100433</v>
      </c>
      <c r="E170" s="548">
        <f>93879+6554</f>
        <v>100433</v>
      </c>
      <c r="G170" s="426"/>
      <c r="H170" s="426"/>
    </row>
    <row r="171" spans="1:8" ht="12.75">
      <c r="A171" s="549" t="s">
        <v>89</v>
      </c>
      <c r="B171" s="457" t="s">
        <v>832</v>
      </c>
      <c r="C171" s="456" t="s">
        <v>90</v>
      </c>
      <c r="D171" s="458">
        <v>1823</v>
      </c>
      <c r="E171" s="555">
        <v>1823</v>
      </c>
      <c r="G171" s="426"/>
      <c r="H171" s="426"/>
    </row>
    <row r="172" spans="1:8" ht="25.5">
      <c r="A172" s="551" t="s">
        <v>711</v>
      </c>
      <c r="B172" s="552" t="s">
        <v>440</v>
      </c>
      <c r="C172" s="581" t="s">
        <v>99</v>
      </c>
      <c r="D172" s="469">
        <f>D173+D177</f>
        <v>2794158</v>
      </c>
      <c r="E172" s="553">
        <f>E173+E177</f>
        <v>2707237</v>
      </c>
      <c r="G172" s="426"/>
      <c r="H172" s="426"/>
    </row>
    <row r="173" spans="1:8" ht="38.25">
      <c r="A173" s="544" t="s">
        <v>272</v>
      </c>
      <c r="B173" s="436" t="s">
        <v>670</v>
      </c>
      <c r="C173" s="438" t="s">
        <v>99</v>
      </c>
      <c r="D173" s="429">
        <f aca="true" t="shared" si="6" ref="D173:E175">D174</f>
        <v>69812</v>
      </c>
      <c r="E173" s="545">
        <f t="shared" si="6"/>
        <v>69812</v>
      </c>
      <c r="G173" s="426"/>
      <c r="H173" s="426"/>
    </row>
    <row r="174" spans="1:8" ht="38.25">
      <c r="A174" s="134" t="s">
        <v>669</v>
      </c>
      <c r="B174" s="436" t="s">
        <v>671</v>
      </c>
      <c r="C174" s="438"/>
      <c r="D174" s="429">
        <f t="shared" si="6"/>
        <v>69812</v>
      </c>
      <c r="E174" s="545">
        <f t="shared" si="6"/>
        <v>69812</v>
      </c>
      <c r="G174" s="426"/>
      <c r="H174" s="426"/>
    </row>
    <row r="175" spans="1:8" ht="12.75">
      <c r="A175" s="136" t="s">
        <v>672</v>
      </c>
      <c r="B175" s="436" t="s">
        <v>673</v>
      </c>
      <c r="C175" s="438" t="s">
        <v>99</v>
      </c>
      <c r="D175" s="429">
        <f t="shared" si="6"/>
        <v>69812</v>
      </c>
      <c r="E175" s="545">
        <f t="shared" si="6"/>
        <v>69812</v>
      </c>
      <c r="G175" s="426"/>
      <c r="H175" s="426"/>
    </row>
    <row r="176" spans="1:8" ht="12.75">
      <c r="A176" s="547" t="s">
        <v>125</v>
      </c>
      <c r="B176" s="436" t="s">
        <v>673</v>
      </c>
      <c r="C176" s="431" t="s">
        <v>94</v>
      </c>
      <c r="D176" s="433">
        <v>69812</v>
      </c>
      <c r="E176" s="548">
        <v>69812</v>
      </c>
      <c r="G176" s="426"/>
      <c r="H176" s="426"/>
    </row>
    <row r="177" spans="1:8" ht="38.25">
      <c r="A177" s="544" t="s">
        <v>713</v>
      </c>
      <c r="B177" s="431" t="s">
        <v>441</v>
      </c>
      <c r="C177" s="431" t="s">
        <v>99</v>
      </c>
      <c r="D177" s="429">
        <f>D178</f>
        <v>2724346</v>
      </c>
      <c r="E177" s="545">
        <f>E178</f>
        <v>2637425</v>
      </c>
      <c r="G177" s="426"/>
      <c r="H177" s="426"/>
    </row>
    <row r="178" spans="1:8" ht="38.25">
      <c r="A178" s="134" t="s">
        <v>753</v>
      </c>
      <c r="B178" s="431" t="s">
        <v>644</v>
      </c>
      <c r="C178" s="431"/>
      <c r="D178" s="429">
        <f>D179</f>
        <v>2724346</v>
      </c>
      <c r="E178" s="545">
        <f>E179</f>
        <v>2637425</v>
      </c>
      <c r="G178" s="426"/>
      <c r="H178" s="426"/>
    </row>
    <row r="179" spans="1:8" ht="25.5">
      <c r="A179" s="546" t="s">
        <v>514</v>
      </c>
      <c r="B179" s="431" t="s">
        <v>442</v>
      </c>
      <c r="C179" s="431" t="s">
        <v>99</v>
      </c>
      <c r="D179" s="429">
        <f>SUM(D180:D182)</f>
        <v>2724346</v>
      </c>
      <c r="E179" s="545">
        <f>SUM(E180:E182)</f>
        <v>2637425</v>
      </c>
      <c r="G179" s="426"/>
      <c r="H179" s="426"/>
    </row>
    <row r="180" spans="1:8" ht="51">
      <c r="A180" s="547" t="s">
        <v>104</v>
      </c>
      <c r="B180" s="431" t="s">
        <v>442</v>
      </c>
      <c r="C180" s="431">
        <v>100</v>
      </c>
      <c r="D180" s="433">
        <v>2655406</v>
      </c>
      <c r="E180" s="548">
        <f>2037254+531231</f>
        <v>2568485</v>
      </c>
      <c r="G180" s="426"/>
      <c r="H180" s="426"/>
    </row>
    <row r="181" spans="1:8" ht="25.5">
      <c r="A181" s="547" t="s">
        <v>482</v>
      </c>
      <c r="B181" s="431" t="s">
        <v>442</v>
      </c>
      <c r="C181" s="431" t="s">
        <v>600</v>
      </c>
      <c r="D181" s="433">
        <v>62140</v>
      </c>
      <c r="E181" s="548">
        <v>62140</v>
      </c>
      <c r="G181" s="426"/>
      <c r="H181" s="426"/>
    </row>
    <row r="182" spans="1:8" ht="12.75">
      <c r="A182" s="549" t="s">
        <v>89</v>
      </c>
      <c r="B182" s="456" t="s">
        <v>442</v>
      </c>
      <c r="C182" s="456" t="s">
        <v>90</v>
      </c>
      <c r="D182" s="458">
        <v>6800</v>
      </c>
      <c r="E182" s="555">
        <v>6800</v>
      </c>
      <c r="G182" s="426"/>
      <c r="H182" s="426"/>
    </row>
    <row r="183" spans="1:8" ht="25.5">
      <c r="A183" s="551" t="s">
        <v>449</v>
      </c>
      <c r="B183" s="552" t="s">
        <v>827</v>
      </c>
      <c r="C183" s="423" t="s">
        <v>99</v>
      </c>
      <c r="D183" s="469">
        <f>D184+D188</f>
        <v>346933</v>
      </c>
      <c r="E183" s="553">
        <f>E184+E188</f>
        <v>345266</v>
      </c>
      <c r="G183" s="426"/>
      <c r="H183" s="426"/>
    </row>
    <row r="184" spans="1:8" ht="38.25">
      <c r="A184" s="544" t="s">
        <v>18</v>
      </c>
      <c r="B184" s="436" t="s">
        <v>828</v>
      </c>
      <c r="C184" s="431"/>
      <c r="D184" s="429">
        <f aca="true" t="shared" si="7" ref="D184:E186">D185</f>
        <v>50933</v>
      </c>
      <c r="E184" s="545">
        <f t="shared" si="7"/>
        <v>49266</v>
      </c>
      <c r="G184" s="426"/>
      <c r="H184" s="426"/>
    </row>
    <row r="185" spans="1:8" ht="38.25">
      <c r="A185" s="130" t="s">
        <v>531</v>
      </c>
      <c r="B185" s="436" t="s">
        <v>829</v>
      </c>
      <c r="C185" s="431"/>
      <c r="D185" s="429">
        <f t="shared" si="7"/>
        <v>50933</v>
      </c>
      <c r="E185" s="545">
        <f t="shared" si="7"/>
        <v>49266</v>
      </c>
      <c r="G185" s="426"/>
      <c r="H185" s="426"/>
    </row>
    <row r="186" spans="1:8" ht="25.5">
      <c r="A186" s="547" t="s">
        <v>448</v>
      </c>
      <c r="B186" s="436" t="s">
        <v>830</v>
      </c>
      <c r="C186" s="431"/>
      <c r="D186" s="429">
        <f t="shared" si="7"/>
        <v>50933</v>
      </c>
      <c r="E186" s="545">
        <f t="shared" si="7"/>
        <v>49266</v>
      </c>
      <c r="G186" s="426"/>
      <c r="H186" s="426"/>
    </row>
    <row r="187" spans="1:8" ht="25.5">
      <c r="A187" s="547" t="s">
        <v>102</v>
      </c>
      <c r="B187" s="436" t="s">
        <v>830</v>
      </c>
      <c r="C187" s="431">
        <v>600</v>
      </c>
      <c r="D187" s="433">
        <v>50933</v>
      </c>
      <c r="E187" s="548">
        <f>38709+10557</f>
        <v>49266</v>
      </c>
      <c r="G187" s="426"/>
      <c r="H187" s="426"/>
    </row>
    <row r="188" spans="1:8" ht="38.25">
      <c r="A188" s="544" t="s">
        <v>20</v>
      </c>
      <c r="B188" s="436" t="s">
        <v>833</v>
      </c>
      <c r="C188" s="431"/>
      <c r="D188" s="429">
        <f>D189</f>
        <v>296000</v>
      </c>
      <c r="E188" s="545">
        <f>E189</f>
        <v>296000</v>
      </c>
      <c r="G188" s="426"/>
      <c r="H188" s="426"/>
    </row>
    <row r="189" spans="1:8" ht="38.25">
      <c r="A189" s="134" t="s">
        <v>903</v>
      </c>
      <c r="B189" s="436" t="s">
        <v>834</v>
      </c>
      <c r="C189" s="431"/>
      <c r="D189" s="429">
        <f>D190</f>
        <v>296000</v>
      </c>
      <c r="E189" s="545">
        <f>E190</f>
        <v>296000</v>
      </c>
      <c r="G189" s="426"/>
      <c r="H189" s="426"/>
    </row>
    <row r="190" spans="1:8" ht="25.5">
      <c r="A190" s="546" t="s">
        <v>469</v>
      </c>
      <c r="B190" s="436" t="s">
        <v>835</v>
      </c>
      <c r="C190" s="438" t="s">
        <v>99</v>
      </c>
      <c r="D190" s="429">
        <f>SUM(D191:D192)</f>
        <v>296000</v>
      </c>
      <c r="E190" s="545">
        <f>SUM(E191:E192)</f>
        <v>296000</v>
      </c>
      <c r="G190" s="426"/>
      <c r="H190" s="426"/>
    </row>
    <row r="191" spans="1:8" ht="51">
      <c r="A191" s="547" t="s">
        <v>104</v>
      </c>
      <c r="B191" s="436" t="s">
        <v>835</v>
      </c>
      <c r="C191" s="431">
        <v>100</v>
      </c>
      <c r="D191" s="433">
        <v>295300</v>
      </c>
      <c r="E191" s="433">
        <v>295300</v>
      </c>
      <c r="G191" s="426"/>
      <c r="H191" s="426"/>
    </row>
    <row r="192" spans="1:8" ht="25.5">
      <c r="A192" s="557" t="s">
        <v>482</v>
      </c>
      <c r="B192" s="558" t="s">
        <v>835</v>
      </c>
      <c r="C192" s="559">
        <v>200</v>
      </c>
      <c r="D192" s="560">
        <v>700</v>
      </c>
      <c r="E192" s="561">
        <v>700</v>
      </c>
      <c r="G192" s="426"/>
      <c r="H192" s="426"/>
    </row>
    <row r="193" spans="1:8" ht="38.25">
      <c r="A193" s="539" t="s">
        <v>478</v>
      </c>
      <c r="B193" s="540" t="s">
        <v>397</v>
      </c>
      <c r="C193" s="541"/>
      <c r="D193" s="542">
        <f aca="true" t="shared" si="8" ref="D193:E195">D194</f>
        <v>500000</v>
      </c>
      <c r="E193" s="543">
        <f t="shared" si="8"/>
        <v>500000</v>
      </c>
      <c r="G193" s="426"/>
      <c r="H193" s="426"/>
    </row>
    <row r="194" spans="1:8" ht="25.5">
      <c r="A194" s="31" t="s">
        <v>690</v>
      </c>
      <c r="B194" s="436" t="s">
        <v>689</v>
      </c>
      <c r="C194" s="431"/>
      <c r="D194" s="429">
        <f t="shared" si="8"/>
        <v>500000</v>
      </c>
      <c r="E194" s="545">
        <f t="shared" si="8"/>
        <v>500000</v>
      </c>
      <c r="G194" s="426"/>
      <c r="H194" s="426"/>
    </row>
    <row r="195" spans="1:8" ht="25.5">
      <c r="A195" s="196" t="s">
        <v>692</v>
      </c>
      <c r="B195" s="436" t="s">
        <v>691</v>
      </c>
      <c r="C195" s="431"/>
      <c r="D195" s="429">
        <f t="shared" si="8"/>
        <v>500000</v>
      </c>
      <c r="E195" s="545">
        <f t="shared" si="8"/>
        <v>500000</v>
      </c>
      <c r="G195" s="426"/>
      <c r="H195" s="426"/>
    </row>
    <row r="196" spans="1:8" ht="25.5">
      <c r="A196" s="455" t="s">
        <v>482</v>
      </c>
      <c r="B196" s="457" t="s">
        <v>691</v>
      </c>
      <c r="C196" s="456">
        <v>200</v>
      </c>
      <c r="D196" s="458">
        <v>500000</v>
      </c>
      <c r="E196" s="555">
        <v>500000</v>
      </c>
      <c r="G196" s="426"/>
      <c r="H196" s="426"/>
    </row>
    <row r="197" spans="1:8" ht="25.5">
      <c r="A197" s="551" t="s">
        <v>17</v>
      </c>
      <c r="B197" s="423" t="s">
        <v>433</v>
      </c>
      <c r="C197" s="423" t="s">
        <v>99</v>
      </c>
      <c r="D197" s="469">
        <f aca="true" t="shared" si="9" ref="D197:E199">D198</f>
        <v>944604</v>
      </c>
      <c r="E197" s="553">
        <f t="shared" si="9"/>
        <v>913684</v>
      </c>
      <c r="G197" s="426"/>
      <c r="H197" s="426"/>
    </row>
    <row r="198" spans="1:8" ht="12.75">
      <c r="A198" s="547" t="s">
        <v>228</v>
      </c>
      <c r="B198" s="431" t="s">
        <v>434</v>
      </c>
      <c r="C198" s="431" t="s">
        <v>99</v>
      </c>
      <c r="D198" s="429">
        <f t="shared" si="9"/>
        <v>944604</v>
      </c>
      <c r="E198" s="545">
        <f t="shared" si="9"/>
        <v>913684</v>
      </c>
      <c r="G198" s="426"/>
      <c r="H198" s="426"/>
    </row>
    <row r="199" spans="1:8" ht="25.5">
      <c r="A199" s="546" t="s">
        <v>514</v>
      </c>
      <c r="B199" s="431" t="s">
        <v>435</v>
      </c>
      <c r="C199" s="431" t="s">
        <v>99</v>
      </c>
      <c r="D199" s="429">
        <f t="shared" si="9"/>
        <v>944604</v>
      </c>
      <c r="E199" s="545">
        <f t="shared" si="9"/>
        <v>913684</v>
      </c>
      <c r="G199" s="426"/>
      <c r="H199" s="426"/>
    </row>
    <row r="200" spans="1:8" ht="51">
      <c r="A200" s="549" t="s">
        <v>104</v>
      </c>
      <c r="B200" s="456" t="s">
        <v>435</v>
      </c>
      <c r="C200" s="456" t="s">
        <v>27</v>
      </c>
      <c r="D200" s="458">
        <v>944604</v>
      </c>
      <c r="E200" s="555">
        <v>913684</v>
      </c>
      <c r="G200" s="426"/>
      <c r="H200" s="426"/>
    </row>
    <row r="201" spans="1:8" ht="12.75">
      <c r="A201" s="582" t="s">
        <v>467</v>
      </c>
      <c r="B201" s="583" t="s">
        <v>436</v>
      </c>
      <c r="C201" s="583" t="s">
        <v>99</v>
      </c>
      <c r="D201" s="584">
        <f>D202</f>
        <v>7828780</v>
      </c>
      <c r="E201" s="585">
        <f>E202</f>
        <v>7599647</v>
      </c>
      <c r="G201" s="426"/>
      <c r="H201" s="426"/>
    </row>
    <row r="202" spans="1:8" ht="12.75">
      <c r="A202" s="547" t="s">
        <v>473</v>
      </c>
      <c r="B202" s="431" t="s">
        <v>437</v>
      </c>
      <c r="C202" s="431" t="s">
        <v>99</v>
      </c>
      <c r="D202" s="429">
        <f>D203+D206</f>
        <v>7828780</v>
      </c>
      <c r="E202" s="545">
        <f>E203+E206</f>
        <v>7599647</v>
      </c>
      <c r="G202" s="426"/>
      <c r="H202" s="426"/>
    </row>
    <row r="203" spans="1:8" ht="38.25">
      <c r="A203" s="547" t="s">
        <v>610</v>
      </c>
      <c r="B203" s="431" t="s">
        <v>438</v>
      </c>
      <c r="C203" s="431"/>
      <c r="D203" s="429">
        <f>SUM(D204:D205)</f>
        <v>296000</v>
      </c>
      <c r="E203" s="545">
        <f>SUM(E204:E205)</f>
        <v>296000</v>
      </c>
      <c r="G203" s="426"/>
      <c r="H203" s="426"/>
    </row>
    <row r="204" spans="1:8" ht="51">
      <c r="A204" s="547" t="s">
        <v>104</v>
      </c>
      <c r="B204" s="431" t="s">
        <v>438</v>
      </c>
      <c r="C204" s="431">
        <v>100</v>
      </c>
      <c r="D204" s="433">
        <f>273792+3800</f>
        <v>277592</v>
      </c>
      <c r="E204" s="433">
        <f>273792+3800</f>
        <v>277592</v>
      </c>
      <c r="G204" s="426"/>
      <c r="H204" s="426"/>
    </row>
    <row r="205" spans="1:8" ht="25.5">
      <c r="A205" s="547" t="s">
        <v>482</v>
      </c>
      <c r="B205" s="431" t="s">
        <v>438</v>
      </c>
      <c r="C205" s="431">
        <v>200</v>
      </c>
      <c r="D205" s="433">
        <v>18408</v>
      </c>
      <c r="E205" s="548">
        <v>18408</v>
      </c>
      <c r="G205" s="426"/>
      <c r="H205" s="426"/>
    </row>
    <row r="206" spans="1:8" ht="25.5">
      <c r="A206" s="546" t="s">
        <v>514</v>
      </c>
      <c r="B206" s="431" t="s">
        <v>439</v>
      </c>
      <c r="C206" s="431" t="s">
        <v>99</v>
      </c>
      <c r="D206" s="429">
        <f>SUM(D207:D209)</f>
        <v>7532780</v>
      </c>
      <c r="E206" s="545">
        <f>SUM(E207:E209)</f>
        <v>7303647</v>
      </c>
      <c r="G206" s="426"/>
      <c r="H206" s="426"/>
    </row>
    <row r="207" spans="1:8" ht="51">
      <c r="A207" s="547" t="s">
        <v>104</v>
      </c>
      <c r="B207" s="431" t="s">
        <v>439</v>
      </c>
      <c r="C207" s="431">
        <v>100</v>
      </c>
      <c r="D207" s="433">
        <v>6999953</v>
      </c>
      <c r="E207" s="548">
        <f>5370435+1400385</f>
        <v>6770820</v>
      </c>
      <c r="G207" s="426"/>
      <c r="H207" s="426"/>
    </row>
    <row r="208" spans="1:8" ht="25.5">
      <c r="A208" s="547" t="s">
        <v>482</v>
      </c>
      <c r="B208" s="431" t="s">
        <v>439</v>
      </c>
      <c r="C208" s="431">
        <v>200</v>
      </c>
      <c r="D208" s="433">
        <f>354854+31179</f>
        <v>386033</v>
      </c>
      <c r="E208" s="548">
        <f>354854+31179</f>
        <v>386033</v>
      </c>
      <c r="G208" s="426"/>
      <c r="H208" s="426"/>
    </row>
    <row r="209" spans="1:8" ht="12.75">
      <c r="A209" s="557" t="s">
        <v>89</v>
      </c>
      <c r="B209" s="559" t="s">
        <v>439</v>
      </c>
      <c r="C209" s="559">
        <v>800</v>
      </c>
      <c r="D209" s="490">
        <v>146794</v>
      </c>
      <c r="E209" s="550">
        <v>146794</v>
      </c>
      <c r="G209" s="426"/>
      <c r="H209" s="426"/>
    </row>
    <row r="210" spans="1:8" ht="25.5">
      <c r="A210" s="539" t="s">
        <v>192</v>
      </c>
      <c r="B210" s="540" t="s">
        <v>443</v>
      </c>
      <c r="C210" s="541" t="s">
        <v>99</v>
      </c>
      <c r="D210" s="542">
        <f>D211+D214</f>
        <v>656244</v>
      </c>
      <c r="E210" s="543">
        <f>E211+E214</f>
        <v>635336</v>
      </c>
      <c r="G210" s="426"/>
      <c r="H210" s="426"/>
    </row>
    <row r="211" spans="1:8" ht="25.5">
      <c r="A211" s="544" t="s">
        <v>193</v>
      </c>
      <c r="B211" s="437" t="s">
        <v>444</v>
      </c>
      <c r="C211" s="431" t="s">
        <v>99</v>
      </c>
      <c r="D211" s="429">
        <f>D212</f>
        <v>410439</v>
      </c>
      <c r="E211" s="545">
        <f>E212</f>
        <v>397004</v>
      </c>
      <c r="G211" s="426"/>
      <c r="H211" s="426"/>
    </row>
    <row r="212" spans="1:8" ht="25.5">
      <c r="A212" s="546" t="s">
        <v>514</v>
      </c>
      <c r="B212" s="436" t="s">
        <v>445</v>
      </c>
      <c r="C212" s="431"/>
      <c r="D212" s="429">
        <f>SUM(D213:D213)</f>
        <v>410439</v>
      </c>
      <c r="E212" s="545">
        <f>SUM(E213:E213)</f>
        <v>397004</v>
      </c>
      <c r="G212" s="426"/>
      <c r="H212" s="426"/>
    </row>
    <row r="213" spans="1:8" ht="51">
      <c r="A213" s="547" t="s">
        <v>104</v>
      </c>
      <c r="B213" s="436" t="s">
        <v>445</v>
      </c>
      <c r="C213" s="431">
        <v>100</v>
      </c>
      <c r="D213" s="429">
        <v>410439</v>
      </c>
      <c r="E213" s="545">
        <v>397004</v>
      </c>
      <c r="G213" s="426"/>
      <c r="H213" s="426"/>
    </row>
    <row r="214" spans="1:8" ht="12.75">
      <c r="A214" s="547" t="s">
        <v>847</v>
      </c>
      <c r="B214" s="437" t="s">
        <v>846</v>
      </c>
      <c r="C214" s="431"/>
      <c r="D214" s="429">
        <f>D215</f>
        <v>245805</v>
      </c>
      <c r="E214" s="545">
        <f>E215</f>
        <v>238332</v>
      </c>
      <c r="G214" s="426"/>
      <c r="H214" s="426"/>
    </row>
    <row r="215" spans="1:8" ht="25.5">
      <c r="A215" s="546" t="s">
        <v>514</v>
      </c>
      <c r="B215" s="436" t="s">
        <v>845</v>
      </c>
      <c r="C215" s="431"/>
      <c r="D215" s="429">
        <f>D216+D217+D218</f>
        <v>245805</v>
      </c>
      <c r="E215" s="545">
        <f>E216+E217+E218</f>
        <v>238332</v>
      </c>
      <c r="G215" s="426"/>
      <c r="H215" s="426"/>
    </row>
    <row r="216" spans="1:8" ht="51">
      <c r="A216" s="547" t="s">
        <v>104</v>
      </c>
      <c r="B216" s="436" t="s">
        <v>845</v>
      </c>
      <c r="C216" s="431">
        <v>100</v>
      </c>
      <c r="D216" s="433">
        <v>228305</v>
      </c>
      <c r="E216" s="548">
        <f>175158+45674</f>
        <v>220832</v>
      </c>
      <c r="G216" s="426"/>
      <c r="H216" s="426"/>
    </row>
    <row r="217" spans="1:8" ht="25.5">
      <c r="A217" s="547" t="s">
        <v>482</v>
      </c>
      <c r="B217" s="436" t="s">
        <v>845</v>
      </c>
      <c r="C217" s="431">
        <v>200</v>
      </c>
      <c r="D217" s="433">
        <v>15500</v>
      </c>
      <c r="E217" s="548">
        <v>15500</v>
      </c>
      <c r="G217" s="426"/>
      <c r="H217" s="426"/>
    </row>
    <row r="218" spans="1:8" ht="12.75">
      <c r="A218" s="557" t="s">
        <v>89</v>
      </c>
      <c r="B218" s="558" t="s">
        <v>845</v>
      </c>
      <c r="C218" s="559">
        <v>800</v>
      </c>
      <c r="D218" s="560">
        <v>2000</v>
      </c>
      <c r="E218" s="561">
        <v>2000</v>
      </c>
      <c r="G218" s="426"/>
      <c r="H218" s="426"/>
    </row>
    <row r="219" spans="1:8" ht="25.5">
      <c r="A219" s="539" t="s">
        <v>537</v>
      </c>
      <c r="B219" s="540" t="s">
        <v>536</v>
      </c>
      <c r="C219" s="580" t="s">
        <v>99</v>
      </c>
      <c r="D219" s="542">
        <f>D220</f>
        <v>40700</v>
      </c>
      <c r="E219" s="543">
        <f>E220</f>
        <v>40700</v>
      </c>
      <c r="G219" s="426"/>
      <c r="H219" s="426"/>
    </row>
    <row r="220" spans="1:8" ht="12.75">
      <c r="A220" s="547" t="s">
        <v>535</v>
      </c>
      <c r="B220" s="436" t="s">
        <v>534</v>
      </c>
      <c r="C220" s="438"/>
      <c r="D220" s="429">
        <f>D223+D221</f>
        <v>40700</v>
      </c>
      <c r="E220" s="545">
        <f>E223+E221</f>
        <v>40700</v>
      </c>
      <c r="G220" s="426"/>
      <c r="H220" s="426"/>
    </row>
    <row r="221" spans="1:8" ht="25.5">
      <c r="A221" s="586" t="s">
        <v>843</v>
      </c>
      <c r="B221" s="443" t="s">
        <v>497</v>
      </c>
      <c r="C221" s="438"/>
      <c r="D221" s="429">
        <f>D222</f>
        <v>35000</v>
      </c>
      <c r="E221" s="545">
        <f>E222</f>
        <v>35000</v>
      </c>
      <c r="G221" s="426"/>
      <c r="H221" s="426"/>
    </row>
    <row r="222" spans="1:8" ht="12.75">
      <c r="A222" s="587" t="s">
        <v>89</v>
      </c>
      <c r="B222" s="443" t="s">
        <v>497</v>
      </c>
      <c r="C222" s="443">
        <v>800</v>
      </c>
      <c r="D222" s="444">
        <v>35000</v>
      </c>
      <c r="E222" s="588">
        <v>35000</v>
      </c>
      <c r="G222" s="426"/>
      <c r="H222" s="426"/>
    </row>
    <row r="223" spans="1:8" ht="25.5">
      <c r="A223" s="136" t="s">
        <v>533</v>
      </c>
      <c r="B223" s="436" t="s">
        <v>532</v>
      </c>
      <c r="C223" s="438" t="s">
        <v>99</v>
      </c>
      <c r="D223" s="429">
        <f>D224</f>
        <v>5700</v>
      </c>
      <c r="E223" s="545">
        <f>E224</f>
        <v>5700</v>
      </c>
      <c r="G223" s="426"/>
      <c r="H223" s="426"/>
    </row>
    <row r="224" spans="1:8" ht="25.5">
      <c r="A224" s="579" t="s">
        <v>103</v>
      </c>
      <c r="B224" s="489" t="s">
        <v>532</v>
      </c>
      <c r="C224" s="488">
        <v>200</v>
      </c>
      <c r="D224" s="490">
        <v>5700</v>
      </c>
      <c r="E224" s="550">
        <v>5700</v>
      </c>
      <c r="G224" s="426"/>
      <c r="H224" s="426"/>
    </row>
    <row r="225" spans="1:8" ht="25.5">
      <c r="A225" s="551" t="s">
        <v>391</v>
      </c>
      <c r="B225" s="552" t="s">
        <v>820</v>
      </c>
      <c r="C225" s="423"/>
      <c r="D225" s="469">
        <f>D226</f>
        <v>11703148.5</v>
      </c>
      <c r="E225" s="553">
        <f>E226</f>
        <v>11358766.5</v>
      </c>
      <c r="G225" s="426"/>
      <c r="H225" s="426"/>
    </row>
    <row r="226" spans="1:8" ht="12.75">
      <c r="A226" s="544" t="s">
        <v>392</v>
      </c>
      <c r="B226" s="437" t="s">
        <v>822</v>
      </c>
      <c r="C226" s="431"/>
      <c r="D226" s="429">
        <f>D227+D229+D232+D234+D238</f>
        <v>11703148.5</v>
      </c>
      <c r="E226" s="545">
        <f>E227+E229+E232+E234+E238</f>
        <v>11358766.5</v>
      </c>
      <c r="G226" s="426"/>
      <c r="H226" s="426"/>
    </row>
    <row r="227" spans="1:8" ht="25.5">
      <c r="A227" s="141" t="s">
        <v>852</v>
      </c>
      <c r="B227" s="436" t="s">
        <v>853</v>
      </c>
      <c r="C227" s="431"/>
      <c r="D227" s="429">
        <f>D228</f>
        <v>657941</v>
      </c>
      <c r="E227" s="545">
        <f>E228</f>
        <v>657941</v>
      </c>
      <c r="G227" s="426"/>
      <c r="H227" s="426"/>
    </row>
    <row r="228" spans="1:8" ht="25.5">
      <c r="A228" s="547" t="s">
        <v>103</v>
      </c>
      <c r="B228" s="436" t="s">
        <v>853</v>
      </c>
      <c r="C228" s="431">
        <v>200</v>
      </c>
      <c r="D228" s="433">
        <v>657941</v>
      </c>
      <c r="E228" s="548">
        <v>657941</v>
      </c>
      <c r="G228" s="426"/>
      <c r="H228" s="426"/>
    </row>
    <row r="229" spans="1:8" ht="38.25">
      <c r="A229" s="141" t="s">
        <v>463</v>
      </c>
      <c r="B229" s="436" t="s">
        <v>464</v>
      </c>
      <c r="C229" s="436"/>
      <c r="D229" s="429">
        <f>D230+D231</f>
        <v>148000</v>
      </c>
      <c r="E229" s="545">
        <f>E230+E231</f>
        <v>148000</v>
      </c>
      <c r="G229" s="426"/>
      <c r="H229" s="426"/>
    </row>
    <row r="230" spans="1:8" ht="51">
      <c r="A230" s="547" t="s">
        <v>104</v>
      </c>
      <c r="B230" s="436" t="s">
        <v>464</v>
      </c>
      <c r="C230" s="436">
        <v>100</v>
      </c>
      <c r="D230" s="444">
        <f>125000+1900</f>
        <v>126900</v>
      </c>
      <c r="E230" s="444">
        <f>125000+1900</f>
        <v>126900</v>
      </c>
      <c r="G230" s="426"/>
      <c r="H230" s="426"/>
    </row>
    <row r="231" spans="1:8" ht="25.5">
      <c r="A231" s="547" t="s">
        <v>482</v>
      </c>
      <c r="B231" s="436" t="s">
        <v>464</v>
      </c>
      <c r="C231" s="436">
        <v>200</v>
      </c>
      <c r="D231" s="433">
        <v>21100</v>
      </c>
      <c r="E231" s="548">
        <v>21100</v>
      </c>
      <c r="G231" s="426"/>
      <c r="H231" s="426"/>
    </row>
    <row r="232" spans="1:8" s="591" customFormat="1" ht="12.75">
      <c r="A232" s="589" t="s">
        <v>499</v>
      </c>
      <c r="B232" s="443" t="s">
        <v>19</v>
      </c>
      <c r="C232" s="443"/>
      <c r="D232" s="448">
        <f>D233</f>
        <v>30000</v>
      </c>
      <c r="E232" s="590">
        <f>E233</f>
        <v>30000</v>
      </c>
      <c r="F232" s="533"/>
      <c r="G232" s="426"/>
      <c r="H232" s="426"/>
    </row>
    <row r="233" spans="1:8" s="591" customFormat="1" ht="12.75">
      <c r="A233" s="592" t="s">
        <v>482</v>
      </c>
      <c r="B233" s="443" t="s">
        <v>19</v>
      </c>
      <c r="C233" s="443">
        <v>200</v>
      </c>
      <c r="D233" s="448">
        <v>30000</v>
      </c>
      <c r="E233" s="590">
        <v>30000</v>
      </c>
      <c r="F233" s="533"/>
      <c r="G233" s="426"/>
      <c r="H233" s="426"/>
    </row>
    <row r="234" spans="1:8" ht="25.5">
      <c r="A234" s="546" t="s">
        <v>126</v>
      </c>
      <c r="B234" s="436" t="s">
        <v>823</v>
      </c>
      <c r="C234" s="438" t="s">
        <v>99</v>
      </c>
      <c r="D234" s="429">
        <f>SUM(D235:D237)</f>
        <v>10767207.5</v>
      </c>
      <c r="E234" s="545">
        <f>SUM(E235:E237)</f>
        <v>10422825.5</v>
      </c>
      <c r="G234" s="426"/>
      <c r="H234" s="426"/>
    </row>
    <row r="235" spans="1:8" ht="51">
      <c r="A235" s="547" t="s">
        <v>104</v>
      </c>
      <c r="B235" s="436" t="s">
        <v>823</v>
      </c>
      <c r="C235" s="431" t="s">
        <v>27</v>
      </c>
      <c r="D235" s="433">
        <v>10520777</v>
      </c>
      <c r="E235" s="548">
        <f>8044620+2131775</f>
        <v>10176395</v>
      </c>
      <c r="G235" s="426"/>
      <c r="H235" s="426"/>
    </row>
    <row r="236" spans="1:8" ht="25.5">
      <c r="A236" s="547" t="s">
        <v>482</v>
      </c>
      <c r="B236" s="436" t="s">
        <v>823</v>
      </c>
      <c r="C236" s="431" t="s">
        <v>600</v>
      </c>
      <c r="D236" s="433">
        <f>226185+462</f>
        <v>226647</v>
      </c>
      <c r="E236" s="548">
        <f>226185+462</f>
        <v>226647</v>
      </c>
      <c r="G236" s="426"/>
      <c r="H236" s="426"/>
    </row>
    <row r="237" spans="1:8" ht="12.75">
      <c r="A237" s="547" t="s">
        <v>89</v>
      </c>
      <c r="B237" s="436" t="s">
        <v>823</v>
      </c>
      <c r="C237" s="431" t="s">
        <v>90</v>
      </c>
      <c r="D237" s="433">
        <v>19783.5</v>
      </c>
      <c r="E237" s="548">
        <v>19783.5</v>
      </c>
      <c r="G237" s="426"/>
      <c r="H237" s="426"/>
    </row>
    <row r="238" spans="1:8" ht="25.5">
      <c r="A238" s="546" t="s">
        <v>914</v>
      </c>
      <c r="B238" s="436" t="s">
        <v>824</v>
      </c>
      <c r="C238" s="438" t="s">
        <v>99</v>
      </c>
      <c r="D238" s="429">
        <f>D239</f>
        <v>100000</v>
      </c>
      <c r="E238" s="545">
        <f>E239</f>
        <v>100000</v>
      </c>
      <c r="G238" s="426"/>
      <c r="H238" s="426"/>
    </row>
    <row r="239" spans="1:8" ht="25.5">
      <c r="A239" s="557" t="s">
        <v>482</v>
      </c>
      <c r="B239" s="558" t="s">
        <v>824</v>
      </c>
      <c r="C239" s="558">
        <v>200</v>
      </c>
      <c r="D239" s="560">
        <v>100000</v>
      </c>
      <c r="E239" s="561">
        <v>100000</v>
      </c>
      <c r="G239" s="426"/>
      <c r="H239" s="426"/>
    </row>
    <row r="240" spans="1:8" ht="12.75">
      <c r="A240" s="593" t="s">
        <v>714</v>
      </c>
      <c r="B240" s="594" t="s">
        <v>446</v>
      </c>
      <c r="C240" s="594" t="s">
        <v>99</v>
      </c>
      <c r="D240" s="595">
        <f aca="true" t="shared" si="10" ref="D240:E242">D241</f>
        <v>5000</v>
      </c>
      <c r="E240" s="596">
        <f t="shared" si="10"/>
        <v>5000</v>
      </c>
      <c r="G240" s="426"/>
      <c r="H240" s="426"/>
    </row>
    <row r="241" spans="1:8" ht="12.75">
      <c r="A241" s="597" t="s">
        <v>553</v>
      </c>
      <c r="B241" s="598" t="s">
        <v>447</v>
      </c>
      <c r="C241" s="598" t="s">
        <v>99</v>
      </c>
      <c r="D241" s="571">
        <f t="shared" si="10"/>
        <v>5000</v>
      </c>
      <c r="E241" s="572">
        <f t="shared" si="10"/>
        <v>5000</v>
      </c>
      <c r="G241" s="426"/>
      <c r="H241" s="426"/>
    </row>
    <row r="242" spans="1:8" ht="12.75">
      <c r="A242" s="599" t="s">
        <v>517</v>
      </c>
      <c r="B242" s="598" t="s">
        <v>807</v>
      </c>
      <c r="C242" s="600" t="s">
        <v>99</v>
      </c>
      <c r="D242" s="571">
        <f t="shared" si="10"/>
        <v>5000</v>
      </c>
      <c r="E242" s="571">
        <f t="shared" si="10"/>
        <v>5000</v>
      </c>
      <c r="G242" s="426"/>
      <c r="H242" s="426"/>
    </row>
    <row r="243" spans="1:8" ht="12.75">
      <c r="A243" s="574" t="s">
        <v>89</v>
      </c>
      <c r="B243" s="576" t="s">
        <v>807</v>
      </c>
      <c r="C243" s="576" t="s">
        <v>90</v>
      </c>
      <c r="D243" s="577">
        <v>5000</v>
      </c>
      <c r="E243" s="578">
        <v>5000</v>
      </c>
      <c r="G243" s="426"/>
      <c r="H243" s="426"/>
    </row>
    <row r="244" spans="1:8" ht="12.75">
      <c r="A244" s="491" t="s">
        <v>749</v>
      </c>
      <c r="B244" s="601"/>
      <c r="C244" s="601"/>
      <c r="D244" s="602">
        <v>2983970</v>
      </c>
      <c r="E244" s="602">
        <v>5813100</v>
      </c>
      <c r="G244" s="426"/>
      <c r="H244" s="426"/>
    </row>
    <row r="245" spans="6:7" ht="12.75">
      <c r="F245" s="603"/>
      <c r="G245" s="603"/>
    </row>
    <row r="246" spans="6:7" ht="12.75">
      <c r="F246" s="603"/>
      <c r="G246" s="603"/>
    </row>
    <row r="247" spans="6:7" ht="12.75">
      <c r="F247" s="604"/>
      <c r="G247" s="604"/>
    </row>
    <row r="248" spans="6:7" ht="12.75">
      <c r="F248" s="605"/>
      <c r="G248" s="605"/>
    </row>
    <row r="249" spans="6:7" ht="12.75">
      <c r="F249" s="605"/>
      <c r="G249" s="605"/>
    </row>
    <row r="250" spans="6:7" ht="12.75">
      <c r="F250" s="604"/>
      <c r="G250" s="604"/>
    </row>
    <row r="251" spans="6:7" ht="12.75">
      <c r="F251" s="604"/>
      <c r="G251" s="604"/>
    </row>
    <row r="252" spans="6:7" ht="12.75">
      <c r="F252" s="604"/>
      <c r="G252" s="604"/>
    </row>
    <row r="253" spans="6:7" ht="12.75">
      <c r="F253" s="604"/>
      <c r="G253" s="604"/>
    </row>
    <row r="254" spans="6:7" ht="12.75">
      <c r="F254" s="604"/>
      <c r="G254" s="604"/>
    </row>
    <row r="255" spans="6:7" ht="12.75">
      <c r="F255" s="606"/>
      <c r="G255" s="606"/>
    </row>
    <row r="256" spans="6:7" ht="12.75">
      <c r="F256" s="603"/>
      <c r="G256" s="603"/>
    </row>
    <row r="257" spans="6:7" ht="12.75">
      <c r="F257" s="603"/>
      <c r="G257" s="603"/>
    </row>
    <row r="258" spans="6:7" ht="12.75">
      <c r="F258" s="603"/>
      <c r="G258" s="603"/>
    </row>
    <row r="259" spans="6:7" ht="12.75">
      <c r="F259" s="603"/>
      <c r="G259" s="603"/>
    </row>
    <row r="260" spans="6:7" ht="12.75">
      <c r="F260" s="604"/>
      <c r="G260" s="604"/>
    </row>
  </sheetData>
  <sheetProtection/>
  <printOptions/>
  <pageMargins left="0.7874015748031497" right="0.16" top="0.5905511811023623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C22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4.8515625" style="0" customWidth="1"/>
    <col min="2" max="2" width="64.8515625" style="0" customWidth="1"/>
    <col min="3" max="3" width="15.421875" style="0" customWidth="1"/>
  </cols>
  <sheetData>
    <row r="1" spans="2:3" ht="12.75">
      <c r="B1" s="12"/>
      <c r="C1" s="12" t="s">
        <v>840</v>
      </c>
    </row>
    <row r="2" spans="2:3" ht="12.75">
      <c r="B2" s="12"/>
      <c r="C2" s="13" t="s">
        <v>519</v>
      </c>
    </row>
    <row r="3" spans="2:3" ht="12.75">
      <c r="B3" s="52"/>
      <c r="C3" s="68" t="s">
        <v>351</v>
      </c>
    </row>
    <row r="4" ht="12.75">
      <c r="A4" s="12"/>
    </row>
    <row r="5" spans="1:3" ht="12.75">
      <c r="A5" s="53" t="s">
        <v>804</v>
      </c>
      <c r="B5" s="54"/>
      <c r="C5" s="54"/>
    </row>
    <row r="6" ht="12.75">
      <c r="A6" s="55"/>
    </row>
    <row r="7" spans="1:3" ht="12.75">
      <c r="A7" s="54" t="s">
        <v>246</v>
      </c>
      <c r="B7" s="54"/>
      <c r="C7" s="54"/>
    </row>
    <row r="8" spans="1:3" ht="12.75">
      <c r="A8" s="56"/>
      <c r="C8" s="13" t="s">
        <v>247</v>
      </c>
    </row>
    <row r="9" spans="1:3" ht="33.75">
      <c r="A9" s="57" t="s">
        <v>248</v>
      </c>
      <c r="B9" s="57" t="s">
        <v>249</v>
      </c>
      <c r="C9" s="57" t="s">
        <v>751</v>
      </c>
    </row>
    <row r="10" spans="1:3" ht="12.75">
      <c r="A10" s="58" t="s">
        <v>250</v>
      </c>
      <c r="B10" s="58" t="s">
        <v>251</v>
      </c>
      <c r="C10" s="59"/>
    </row>
    <row r="11" spans="1:3" ht="25.5">
      <c r="A11" s="60" t="s">
        <v>252</v>
      </c>
      <c r="B11" s="60" t="s">
        <v>225</v>
      </c>
      <c r="C11" s="61">
        <v>14746000</v>
      </c>
    </row>
    <row r="12" spans="1:3" ht="12.75">
      <c r="A12" s="189" t="s">
        <v>253</v>
      </c>
      <c r="B12" s="189" t="s">
        <v>254</v>
      </c>
      <c r="C12" s="190"/>
    </row>
    <row r="13" spans="1:3" ht="12.75">
      <c r="A13" s="62"/>
      <c r="B13" s="62" t="s">
        <v>255</v>
      </c>
      <c r="C13" s="63">
        <f>SUM(C10:C12)</f>
        <v>14746000</v>
      </c>
    </row>
    <row r="16" spans="1:3" ht="12.75">
      <c r="A16" s="54" t="s">
        <v>256</v>
      </c>
      <c r="B16" s="54"/>
      <c r="C16" s="54"/>
    </row>
    <row r="17" spans="1:3" ht="12.75">
      <c r="A17" s="56"/>
      <c r="C17" s="13" t="s">
        <v>247</v>
      </c>
    </row>
    <row r="18" spans="1:3" ht="33.75">
      <c r="A18" s="57" t="s">
        <v>248</v>
      </c>
      <c r="B18" s="57" t="s">
        <v>249</v>
      </c>
      <c r="C18" s="57" t="s">
        <v>752</v>
      </c>
    </row>
    <row r="19" spans="1:3" ht="12.75">
      <c r="A19" s="64" t="s">
        <v>250</v>
      </c>
      <c r="B19" s="64" t="s">
        <v>251</v>
      </c>
      <c r="C19" s="65"/>
    </row>
    <row r="20" spans="1:3" ht="25.5">
      <c r="A20" s="60" t="s">
        <v>252</v>
      </c>
      <c r="B20" s="60" t="s">
        <v>225</v>
      </c>
      <c r="C20" s="61">
        <v>23963000</v>
      </c>
    </row>
    <row r="21" spans="1:3" ht="12.75">
      <c r="A21" s="189" t="s">
        <v>253</v>
      </c>
      <c r="B21" s="189" t="s">
        <v>254</v>
      </c>
      <c r="C21" s="191"/>
    </row>
    <row r="22" spans="1:3" ht="12.75">
      <c r="A22" s="62"/>
      <c r="B22" s="62" t="s">
        <v>255</v>
      </c>
      <c r="C22" s="63">
        <f>SUM(C19:C21)</f>
        <v>23963000</v>
      </c>
    </row>
  </sheetData>
  <sheetProtection/>
  <printOptions/>
  <pageMargins left="0.7874015748031497" right="0.42" top="0.5905511811023623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D22"/>
  <sheetViews>
    <sheetView showGridLines="0" zoomScaleSheetLayoutView="100" workbookViewId="0" topLeftCell="A1">
      <selection activeCell="F35" sqref="F35"/>
    </sheetView>
  </sheetViews>
  <sheetFormatPr defaultColWidth="9.140625" defaultRowHeight="12.75"/>
  <cols>
    <col min="1" max="1" width="4.8515625" style="0" customWidth="1"/>
    <col min="2" max="2" width="64.8515625" style="0" customWidth="1"/>
    <col min="3" max="3" width="15.421875" style="0" customWidth="1"/>
    <col min="4" max="4" width="15.00390625" style="0" customWidth="1"/>
  </cols>
  <sheetData>
    <row r="1" spans="2:4" ht="12.75">
      <c r="B1" s="12"/>
      <c r="D1" s="12" t="s">
        <v>325</v>
      </c>
    </row>
    <row r="2" spans="2:4" ht="12.75">
      <c r="B2" s="12"/>
      <c r="D2" s="13" t="s">
        <v>519</v>
      </c>
    </row>
    <row r="3" spans="2:4" ht="12.75">
      <c r="B3" s="52"/>
      <c r="D3" s="68" t="s">
        <v>351</v>
      </c>
    </row>
    <row r="4" ht="12.75">
      <c r="A4" s="12"/>
    </row>
    <row r="5" spans="1:3" ht="25.5">
      <c r="A5" s="53" t="s">
        <v>315</v>
      </c>
      <c r="B5" s="54"/>
      <c r="C5" s="54"/>
    </row>
    <row r="6" ht="12.75">
      <c r="A6" s="55"/>
    </row>
    <row r="7" spans="1:3" ht="12.75">
      <c r="A7" s="54" t="s">
        <v>246</v>
      </c>
      <c r="B7" s="54"/>
      <c r="C7" s="54"/>
    </row>
    <row r="8" spans="1:4" ht="12.75">
      <c r="A8" s="56"/>
      <c r="C8" s="13"/>
      <c r="D8" s="13" t="s">
        <v>247</v>
      </c>
    </row>
    <row r="9" spans="1:4" ht="33.75">
      <c r="A9" s="57" t="s">
        <v>248</v>
      </c>
      <c r="B9" s="57" t="s">
        <v>249</v>
      </c>
      <c r="C9" s="57" t="s">
        <v>180</v>
      </c>
      <c r="D9" s="57" t="s">
        <v>316</v>
      </c>
    </row>
    <row r="10" spans="1:4" ht="12.75">
      <c r="A10" s="58" t="s">
        <v>250</v>
      </c>
      <c r="B10" s="58" t="s">
        <v>251</v>
      </c>
      <c r="C10" s="59"/>
      <c r="D10" s="59"/>
    </row>
    <row r="11" spans="1:4" ht="25.5">
      <c r="A11" s="60" t="s">
        <v>252</v>
      </c>
      <c r="B11" s="60" t="s">
        <v>225</v>
      </c>
      <c r="C11" s="61">
        <v>29120000</v>
      </c>
      <c r="D11" s="61">
        <v>10577000</v>
      </c>
    </row>
    <row r="12" spans="1:4" ht="12.75">
      <c r="A12" s="189" t="s">
        <v>253</v>
      </c>
      <c r="B12" s="189" t="s">
        <v>254</v>
      </c>
      <c r="C12" s="190"/>
      <c r="D12" s="190"/>
    </row>
    <row r="13" spans="1:4" ht="12.75">
      <c r="A13" s="62"/>
      <c r="B13" s="62" t="s">
        <v>255</v>
      </c>
      <c r="C13" s="63">
        <f>SUM(C10:C12)</f>
        <v>29120000</v>
      </c>
      <c r="D13" s="63">
        <f>SUM(D10:D12)</f>
        <v>10577000</v>
      </c>
    </row>
    <row r="16" spans="1:3" ht="12.75">
      <c r="A16" s="54" t="s">
        <v>256</v>
      </c>
      <c r="B16" s="54"/>
      <c r="C16" s="54"/>
    </row>
    <row r="17" spans="1:4" ht="12.75">
      <c r="A17" s="56"/>
      <c r="C17" s="13"/>
      <c r="D17" s="13" t="s">
        <v>247</v>
      </c>
    </row>
    <row r="18" spans="1:4" ht="33.75">
      <c r="A18" s="57" t="s">
        <v>248</v>
      </c>
      <c r="B18" s="57" t="s">
        <v>249</v>
      </c>
      <c r="C18" s="57" t="s">
        <v>472</v>
      </c>
      <c r="D18" s="57" t="s">
        <v>317</v>
      </c>
    </row>
    <row r="19" spans="1:4" ht="12.75">
      <c r="A19" s="64" t="s">
        <v>250</v>
      </c>
      <c r="B19" s="64" t="s">
        <v>251</v>
      </c>
      <c r="C19" s="65"/>
      <c r="D19" s="65"/>
    </row>
    <row r="20" spans="1:4" ht="25.5">
      <c r="A20" s="60" t="s">
        <v>252</v>
      </c>
      <c r="B20" s="60" t="s">
        <v>225</v>
      </c>
      <c r="C20" s="61">
        <v>29120000</v>
      </c>
      <c r="D20" s="61">
        <v>10577000</v>
      </c>
    </row>
    <row r="21" spans="1:4" ht="12.75">
      <c r="A21" s="189" t="s">
        <v>253</v>
      </c>
      <c r="B21" s="189" t="s">
        <v>254</v>
      </c>
      <c r="C21" s="191"/>
      <c r="D21" s="191"/>
    </row>
    <row r="22" spans="1:4" ht="12.75">
      <c r="A22" s="62"/>
      <c r="B22" s="62" t="s">
        <v>255</v>
      </c>
      <c r="C22" s="63">
        <f>SUM(C19:C21)</f>
        <v>29120000</v>
      </c>
      <c r="D22" s="63">
        <f>SUM(D19:D21)</f>
        <v>10577000</v>
      </c>
    </row>
  </sheetData>
  <sheetProtection/>
  <printOptions/>
  <pageMargins left="0.7874015748031497" right="0.42" top="0.5905511811023623" bottom="0.3937007874015748" header="0.31496062992125984" footer="0.31496062992125984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H2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104" customWidth="1"/>
    <col min="2" max="2" width="14.57421875" style="104" customWidth="1"/>
    <col min="3" max="3" width="13.7109375" style="104" customWidth="1"/>
    <col min="4" max="4" width="14.7109375" style="104" customWidth="1"/>
    <col min="5" max="5" width="14.140625" style="104" customWidth="1"/>
    <col min="6" max="6" width="13.57421875" style="104" customWidth="1"/>
    <col min="7" max="16384" width="9.140625" style="104" customWidth="1"/>
  </cols>
  <sheetData>
    <row r="1" spans="2:7" ht="12.75">
      <c r="B1" s="105"/>
      <c r="C1" s="105"/>
      <c r="D1" s="105"/>
      <c r="E1" s="105"/>
      <c r="F1" s="105"/>
      <c r="G1" s="105" t="s">
        <v>245</v>
      </c>
    </row>
    <row r="2" spans="2:7" ht="12.75">
      <c r="B2" s="105"/>
      <c r="C2" s="105"/>
      <c r="D2" s="105"/>
      <c r="E2" s="105"/>
      <c r="F2" s="105"/>
      <c r="G2" s="13" t="s">
        <v>519</v>
      </c>
    </row>
    <row r="3" spans="2:7" ht="12.75">
      <c r="B3" s="105"/>
      <c r="C3" s="105"/>
      <c r="D3" s="105"/>
      <c r="E3" s="105"/>
      <c r="F3" s="105"/>
      <c r="G3" s="68" t="s">
        <v>483</v>
      </c>
    </row>
    <row r="4" spans="1:7" ht="12.75">
      <c r="A4" s="120"/>
      <c r="B4" s="108"/>
      <c r="C4" s="108"/>
      <c r="D4" s="108"/>
      <c r="E4" s="108"/>
      <c r="F4" s="108"/>
      <c r="G4" s="108"/>
    </row>
    <row r="5" spans="1:7" ht="12.75">
      <c r="A5" s="121" t="s">
        <v>66</v>
      </c>
      <c r="B5" s="106"/>
      <c r="C5" s="106"/>
      <c r="D5" s="106"/>
      <c r="E5" s="106"/>
      <c r="F5" s="106"/>
      <c r="G5" s="106"/>
    </row>
    <row r="6" spans="1:7" ht="12.75">
      <c r="A6" s="107"/>
      <c r="B6" s="108"/>
      <c r="C6" s="108"/>
      <c r="D6" s="108"/>
      <c r="E6" s="108"/>
      <c r="F6" s="108"/>
      <c r="G6" s="108"/>
    </row>
    <row r="7" spans="1:7" ht="12.75">
      <c r="A7" s="106" t="s">
        <v>67</v>
      </c>
      <c r="B7" s="106"/>
      <c r="C7" s="106"/>
      <c r="D7" s="106"/>
      <c r="E7" s="106"/>
      <c r="F7" s="106"/>
      <c r="G7" s="106"/>
    </row>
    <row r="8" spans="1:7" ht="12.75">
      <c r="A8" s="107"/>
      <c r="B8" s="108"/>
      <c r="C8" s="108"/>
      <c r="D8" s="108"/>
      <c r="E8" s="108"/>
      <c r="F8" s="108"/>
      <c r="G8" s="108"/>
    </row>
    <row r="9" spans="1:7" ht="33.75">
      <c r="A9" s="109"/>
      <c r="B9" s="109" t="s">
        <v>326</v>
      </c>
      <c r="C9" s="109" t="s">
        <v>327</v>
      </c>
      <c r="D9" s="109" t="s">
        <v>328</v>
      </c>
      <c r="E9" s="109" t="s">
        <v>329</v>
      </c>
      <c r="F9" s="109" t="s">
        <v>330</v>
      </c>
      <c r="G9" s="109" t="s">
        <v>331</v>
      </c>
    </row>
    <row r="10" spans="1:7" ht="12.75">
      <c r="A10" s="109" t="s">
        <v>598</v>
      </c>
      <c r="B10" s="109" t="s">
        <v>97</v>
      </c>
      <c r="C10" s="109" t="s">
        <v>599</v>
      </c>
      <c r="D10" s="109" t="s">
        <v>545</v>
      </c>
      <c r="E10" s="109" t="s">
        <v>546</v>
      </c>
      <c r="F10" s="109" t="s">
        <v>547</v>
      </c>
      <c r="G10" s="109" t="s">
        <v>12</v>
      </c>
    </row>
    <row r="11" spans="1:7" ht="12.75">
      <c r="A11" s="122"/>
      <c r="B11" s="123" t="s">
        <v>332</v>
      </c>
      <c r="C11" s="123" t="s">
        <v>332</v>
      </c>
      <c r="D11" s="123" t="s">
        <v>332</v>
      </c>
      <c r="E11" s="123" t="s">
        <v>332</v>
      </c>
      <c r="F11" s="123" t="s">
        <v>332</v>
      </c>
      <c r="G11" s="123" t="s">
        <v>332</v>
      </c>
    </row>
    <row r="12" spans="1:7" ht="12.75">
      <c r="A12" s="116"/>
      <c r="B12" s="116"/>
      <c r="C12" s="116"/>
      <c r="D12" s="116"/>
      <c r="E12" s="116"/>
      <c r="F12" s="116"/>
      <c r="G12" s="116"/>
    </row>
    <row r="13" spans="1:7" ht="12.75">
      <c r="A13" s="116"/>
      <c r="B13" s="116"/>
      <c r="C13" s="116"/>
      <c r="D13" s="116"/>
      <c r="E13" s="116"/>
      <c r="F13" s="116"/>
      <c r="G13" s="116"/>
    </row>
    <row r="14" spans="1:7" ht="12.75">
      <c r="A14" s="118"/>
      <c r="B14" s="118"/>
      <c r="C14" s="118"/>
      <c r="D14" s="118"/>
      <c r="E14" s="118"/>
      <c r="F14" s="118"/>
      <c r="G14" s="118"/>
    </row>
    <row r="15" spans="1:7" ht="12.75">
      <c r="A15" s="108"/>
      <c r="B15" s="108"/>
      <c r="C15" s="108"/>
      <c r="D15" s="108"/>
      <c r="E15" s="108"/>
      <c r="F15" s="108"/>
      <c r="G15" s="108"/>
    </row>
    <row r="16" spans="1:7" ht="12.75">
      <c r="A16" s="108"/>
      <c r="B16" s="108"/>
      <c r="C16" s="108"/>
      <c r="D16" s="108"/>
      <c r="E16" s="108"/>
      <c r="F16" s="108"/>
      <c r="G16" s="108"/>
    </row>
    <row r="17" spans="1:7" ht="25.5">
      <c r="A17" s="106" t="s">
        <v>68</v>
      </c>
      <c r="B17" s="106"/>
      <c r="C17" s="106"/>
      <c r="D17" s="106"/>
      <c r="E17" s="106"/>
      <c r="F17" s="106"/>
      <c r="G17" s="106"/>
    </row>
    <row r="18" spans="1:7" ht="12.75">
      <c r="A18" s="107"/>
      <c r="B18" s="108"/>
      <c r="C18" s="108"/>
      <c r="D18" s="108"/>
      <c r="E18" s="108"/>
      <c r="F18" s="108"/>
      <c r="G18" s="108"/>
    </row>
    <row r="19" spans="1:8" ht="27">
      <c r="A19" s="647" t="s">
        <v>333</v>
      </c>
      <c r="B19" s="647"/>
      <c r="C19" s="647"/>
      <c r="D19" s="647" t="s">
        <v>334</v>
      </c>
      <c r="E19" s="647"/>
      <c r="F19" s="647"/>
      <c r="G19" s="647"/>
      <c r="H19" s="124"/>
    </row>
    <row r="20" spans="1:8" ht="27">
      <c r="A20" s="649" t="s">
        <v>335</v>
      </c>
      <c r="B20" s="649"/>
      <c r="C20" s="649"/>
      <c r="D20" s="648" t="s">
        <v>336</v>
      </c>
      <c r="E20" s="648"/>
      <c r="F20" s="648"/>
      <c r="G20" s="648"/>
      <c r="H20" s="124"/>
    </row>
    <row r="21" spans="1:8" ht="27">
      <c r="A21" s="645"/>
      <c r="B21" s="645"/>
      <c r="C21" s="645"/>
      <c r="D21" s="646"/>
      <c r="E21" s="646"/>
      <c r="F21" s="646"/>
      <c r="G21" s="646"/>
      <c r="H21" s="124"/>
    </row>
    <row r="22" spans="1:7" ht="12.75">
      <c r="A22" s="108"/>
      <c r="B22" s="108"/>
      <c r="C22" s="108"/>
      <c r="D22" s="108"/>
      <c r="E22" s="108"/>
      <c r="F22" s="108"/>
      <c r="G22" s="108"/>
    </row>
  </sheetData>
  <sheetProtection/>
  <mergeCells count="6">
    <mergeCell ref="A21:C21"/>
    <mergeCell ref="D21:G21"/>
    <mergeCell ref="A19:C19"/>
    <mergeCell ref="D19:G19"/>
    <mergeCell ref="D20:G20"/>
    <mergeCell ref="A20:C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H22"/>
  <sheetViews>
    <sheetView showGridLines="0" zoomScaleSheetLayoutView="100" workbookViewId="0" topLeftCell="A1">
      <selection activeCell="J29" sqref="J29"/>
    </sheetView>
  </sheetViews>
  <sheetFormatPr defaultColWidth="9.140625" defaultRowHeight="12.75"/>
  <cols>
    <col min="1" max="1" width="5.140625" style="104" customWidth="1"/>
    <col min="2" max="2" width="17.00390625" style="104" customWidth="1"/>
    <col min="3" max="4" width="14.7109375" style="104" customWidth="1"/>
    <col min="5" max="5" width="14.140625" style="104" customWidth="1"/>
    <col min="6" max="6" width="13.57421875" style="104" customWidth="1"/>
    <col min="7" max="16384" width="9.140625" style="104" customWidth="1"/>
  </cols>
  <sheetData>
    <row r="1" spans="2:7" ht="12.75">
      <c r="B1" s="105"/>
      <c r="C1" s="105"/>
      <c r="D1" s="105"/>
      <c r="E1" s="105"/>
      <c r="F1" s="105"/>
      <c r="G1" s="105" t="s">
        <v>750</v>
      </c>
    </row>
    <row r="2" spans="2:7" ht="12.75">
      <c r="B2" s="105"/>
      <c r="C2" s="105"/>
      <c r="D2" s="105"/>
      <c r="E2" s="105"/>
      <c r="F2" s="105"/>
      <c r="G2" s="13" t="s">
        <v>519</v>
      </c>
    </row>
    <row r="3" spans="2:7" ht="12.75">
      <c r="B3" s="105"/>
      <c r="C3" s="105"/>
      <c r="D3" s="105"/>
      <c r="E3" s="105"/>
      <c r="F3" s="105"/>
      <c r="G3" s="68" t="s">
        <v>483</v>
      </c>
    </row>
    <row r="4" spans="1:7" ht="12.75">
      <c r="A4" s="120"/>
      <c r="B4" s="108"/>
      <c r="C4" s="108"/>
      <c r="D4" s="108"/>
      <c r="E4" s="108"/>
      <c r="F4" s="108"/>
      <c r="G4" s="108"/>
    </row>
    <row r="5" spans="1:7" ht="12.75">
      <c r="A5" s="121" t="s">
        <v>63</v>
      </c>
      <c r="B5" s="106"/>
      <c r="C5" s="106"/>
      <c r="D5" s="106"/>
      <c r="E5" s="106"/>
      <c r="F5" s="106"/>
      <c r="G5" s="106"/>
    </row>
    <row r="6" spans="1:7" ht="12.75">
      <c r="A6" s="107"/>
      <c r="B6" s="108"/>
      <c r="C6" s="108"/>
      <c r="D6" s="108"/>
      <c r="E6" s="108"/>
      <c r="F6" s="108"/>
      <c r="G6" s="108"/>
    </row>
    <row r="7" spans="1:7" ht="12.75">
      <c r="A7" s="106" t="s">
        <v>64</v>
      </c>
      <c r="B7" s="106"/>
      <c r="C7" s="106"/>
      <c r="D7" s="106"/>
      <c r="E7" s="106"/>
      <c r="F7" s="106"/>
      <c r="G7" s="106"/>
    </row>
    <row r="8" spans="1:7" ht="12.75">
      <c r="A8" s="107"/>
      <c r="B8" s="108"/>
      <c r="C8" s="108"/>
      <c r="D8" s="108"/>
      <c r="E8" s="108"/>
      <c r="F8" s="108"/>
      <c r="G8" s="108"/>
    </row>
    <row r="9" spans="1:7" ht="33.75">
      <c r="A9" s="109"/>
      <c r="B9" s="109" t="s">
        <v>326</v>
      </c>
      <c r="C9" s="109" t="s">
        <v>327</v>
      </c>
      <c r="D9" s="109" t="s">
        <v>328</v>
      </c>
      <c r="E9" s="109" t="s">
        <v>329</v>
      </c>
      <c r="F9" s="109" t="s">
        <v>330</v>
      </c>
      <c r="G9" s="109" t="s">
        <v>331</v>
      </c>
    </row>
    <row r="10" spans="1:7" ht="12.75">
      <c r="A10" s="109" t="s">
        <v>598</v>
      </c>
      <c r="B10" s="109" t="s">
        <v>97</v>
      </c>
      <c r="C10" s="109" t="s">
        <v>599</v>
      </c>
      <c r="D10" s="109" t="s">
        <v>545</v>
      </c>
      <c r="E10" s="109" t="s">
        <v>546</v>
      </c>
      <c r="F10" s="109" t="s">
        <v>547</v>
      </c>
      <c r="G10" s="109" t="s">
        <v>12</v>
      </c>
    </row>
    <row r="11" spans="1:7" ht="12.75">
      <c r="A11" s="122"/>
      <c r="B11" s="123" t="s">
        <v>332</v>
      </c>
      <c r="C11" s="123" t="s">
        <v>332</v>
      </c>
      <c r="D11" s="123" t="s">
        <v>332</v>
      </c>
      <c r="E11" s="123" t="s">
        <v>332</v>
      </c>
      <c r="F11" s="123" t="s">
        <v>332</v>
      </c>
      <c r="G11" s="123" t="s">
        <v>332</v>
      </c>
    </row>
    <row r="12" spans="1:7" ht="12.75">
      <c r="A12" s="116"/>
      <c r="B12" s="116"/>
      <c r="C12" s="116"/>
      <c r="D12" s="116"/>
      <c r="E12" s="116"/>
      <c r="F12" s="116"/>
      <c r="G12" s="116"/>
    </row>
    <row r="13" spans="1:7" ht="12.75">
      <c r="A13" s="116"/>
      <c r="B13" s="116"/>
      <c r="C13" s="116"/>
      <c r="D13" s="116"/>
      <c r="E13" s="116"/>
      <c r="F13" s="116"/>
      <c r="G13" s="116"/>
    </row>
    <row r="14" spans="1:7" ht="12.75">
      <c r="A14" s="118"/>
      <c r="B14" s="118"/>
      <c r="C14" s="118"/>
      <c r="D14" s="118"/>
      <c r="E14" s="118"/>
      <c r="F14" s="118"/>
      <c r="G14" s="118"/>
    </row>
    <row r="15" spans="1:7" ht="12.75">
      <c r="A15" s="108"/>
      <c r="B15" s="108"/>
      <c r="C15" s="108"/>
      <c r="D15" s="108"/>
      <c r="E15" s="108"/>
      <c r="F15" s="108"/>
      <c r="G15" s="108"/>
    </row>
    <row r="16" spans="1:7" ht="12.75">
      <c r="A16" s="108"/>
      <c r="B16" s="108"/>
      <c r="C16" s="108"/>
      <c r="D16" s="108"/>
      <c r="E16" s="108"/>
      <c r="F16" s="108"/>
      <c r="G16" s="108"/>
    </row>
    <row r="17" spans="1:7" ht="25.5">
      <c r="A17" s="106" t="s">
        <v>65</v>
      </c>
      <c r="B17" s="106"/>
      <c r="C17" s="106"/>
      <c r="D17" s="106"/>
      <c r="E17" s="106"/>
      <c r="F17" s="106"/>
      <c r="G17" s="106"/>
    </row>
    <row r="18" spans="1:7" ht="12.75">
      <c r="A18" s="107"/>
      <c r="B18" s="108"/>
      <c r="C18" s="108"/>
      <c r="D18" s="108"/>
      <c r="E18" s="108"/>
      <c r="F18" s="108"/>
      <c r="G18" s="108"/>
    </row>
    <row r="19" spans="1:8" ht="27">
      <c r="A19" s="647" t="s">
        <v>333</v>
      </c>
      <c r="B19" s="647"/>
      <c r="C19" s="647"/>
      <c r="D19" s="647" t="s">
        <v>334</v>
      </c>
      <c r="E19" s="647"/>
      <c r="F19" s="647"/>
      <c r="G19" s="647"/>
      <c r="H19" s="124"/>
    </row>
    <row r="20" spans="1:8" ht="27">
      <c r="A20" s="649" t="s">
        <v>335</v>
      </c>
      <c r="B20" s="649"/>
      <c r="C20" s="649"/>
      <c r="D20" s="648" t="s">
        <v>336</v>
      </c>
      <c r="E20" s="648"/>
      <c r="F20" s="648"/>
      <c r="G20" s="648"/>
      <c r="H20" s="124"/>
    </row>
    <row r="21" spans="1:8" ht="27">
      <c r="A21" s="645"/>
      <c r="B21" s="645"/>
      <c r="C21" s="645"/>
      <c r="D21" s="646"/>
      <c r="E21" s="646"/>
      <c r="F21" s="646"/>
      <c r="G21" s="646"/>
      <c r="H21" s="124"/>
    </row>
    <row r="22" spans="1:7" ht="12.75">
      <c r="A22" s="108"/>
      <c r="B22" s="108"/>
      <c r="C22" s="108"/>
      <c r="D22" s="108"/>
      <c r="E22" s="108"/>
      <c r="F22" s="108"/>
      <c r="G22" s="108"/>
    </row>
  </sheetData>
  <sheetProtection/>
  <mergeCells count="6">
    <mergeCell ref="A21:C21"/>
    <mergeCell ref="D21:G21"/>
    <mergeCell ref="A19:C19"/>
    <mergeCell ref="D19:G19"/>
    <mergeCell ref="A20:C20"/>
    <mergeCell ref="D20:G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C1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5.8515625" style="104" customWidth="1"/>
    <col min="2" max="2" width="23.140625" style="104" customWidth="1"/>
    <col min="3" max="3" width="56.8515625" style="104" customWidth="1"/>
    <col min="4" max="16384" width="9.140625" style="104" customWidth="1"/>
  </cols>
  <sheetData>
    <row r="1" spans="2:3" ht="12.75">
      <c r="B1" s="105"/>
      <c r="C1" s="105" t="s">
        <v>163</v>
      </c>
    </row>
    <row r="2" spans="2:3" ht="12.75">
      <c r="B2" s="105"/>
      <c r="C2" s="13" t="s">
        <v>519</v>
      </c>
    </row>
    <row r="3" spans="2:3" ht="12.75">
      <c r="B3" s="13"/>
      <c r="C3" s="68" t="s">
        <v>483</v>
      </c>
    </row>
    <row r="4" spans="1:3" ht="25.5">
      <c r="A4" s="106" t="s">
        <v>164</v>
      </c>
      <c r="B4" s="106"/>
      <c r="C4" s="106"/>
    </row>
    <row r="5" spans="1:3" ht="12.75">
      <c r="A5" s="107"/>
      <c r="B5" s="108"/>
      <c r="C5" s="105" t="s">
        <v>119</v>
      </c>
    </row>
    <row r="6" spans="1:3" ht="22.5">
      <c r="A6" s="109" t="s">
        <v>165</v>
      </c>
      <c r="B6" s="109" t="s">
        <v>166</v>
      </c>
      <c r="C6" s="109" t="s">
        <v>96</v>
      </c>
    </row>
    <row r="7" spans="1:3" ht="12.75">
      <c r="A7" s="110" t="s">
        <v>598</v>
      </c>
      <c r="B7" s="110" t="s">
        <v>97</v>
      </c>
      <c r="C7" s="110" t="s">
        <v>599</v>
      </c>
    </row>
    <row r="8" spans="1:3" ht="25.5">
      <c r="A8" s="111" t="s">
        <v>660</v>
      </c>
      <c r="B8" s="112"/>
      <c r="C8" s="112" t="s">
        <v>616</v>
      </c>
    </row>
    <row r="9" spans="1:3" ht="25.5">
      <c r="A9" s="113" t="s">
        <v>660</v>
      </c>
      <c r="B9" s="114" t="s">
        <v>556</v>
      </c>
      <c r="C9" s="115" t="s">
        <v>557</v>
      </c>
    </row>
    <row r="10" spans="1:3" ht="25.5">
      <c r="A10" s="113" t="s">
        <v>660</v>
      </c>
      <c r="B10" s="113" t="s">
        <v>558</v>
      </c>
      <c r="C10" s="116" t="s">
        <v>559</v>
      </c>
    </row>
    <row r="11" spans="1:3" ht="25.5">
      <c r="A11" s="113" t="s">
        <v>660</v>
      </c>
      <c r="B11" s="113" t="s">
        <v>224</v>
      </c>
      <c r="C11" s="116" t="s">
        <v>769</v>
      </c>
    </row>
    <row r="12" spans="1:3" ht="25.5">
      <c r="A12" s="113" t="s">
        <v>660</v>
      </c>
      <c r="B12" s="113" t="s">
        <v>167</v>
      </c>
      <c r="C12" s="116" t="s">
        <v>168</v>
      </c>
    </row>
    <row r="13" spans="1:3" ht="25.5">
      <c r="A13" s="113" t="s">
        <v>660</v>
      </c>
      <c r="B13" s="113" t="s">
        <v>169</v>
      </c>
      <c r="C13" s="116" t="s">
        <v>170</v>
      </c>
    </row>
    <row r="14" spans="1:3" ht="25.5">
      <c r="A14" s="113" t="s">
        <v>660</v>
      </c>
      <c r="B14" s="114" t="s">
        <v>226</v>
      </c>
      <c r="C14" s="115" t="s">
        <v>225</v>
      </c>
    </row>
    <row r="15" spans="1:3" ht="38.25">
      <c r="A15" s="113" t="s">
        <v>660</v>
      </c>
      <c r="B15" s="113" t="s">
        <v>187</v>
      </c>
      <c r="C15" s="116" t="s">
        <v>431</v>
      </c>
    </row>
    <row r="16" spans="1:3" ht="38.25">
      <c r="A16" s="113" t="s">
        <v>660</v>
      </c>
      <c r="B16" s="113" t="s">
        <v>188</v>
      </c>
      <c r="C16" s="116" t="s">
        <v>432</v>
      </c>
    </row>
    <row r="17" spans="1:3" ht="38.25">
      <c r="A17" s="113" t="s">
        <v>660</v>
      </c>
      <c r="B17" s="113" t="s">
        <v>189</v>
      </c>
      <c r="C17" s="116" t="s">
        <v>171</v>
      </c>
    </row>
    <row r="18" spans="1:3" ht="38.25">
      <c r="A18" s="117" t="s">
        <v>660</v>
      </c>
      <c r="B18" s="117" t="s">
        <v>190</v>
      </c>
      <c r="C18" s="118" t="s">
        <v>172</v>
      </c>
    </row>
    <row r="19" spans="1:3" ht="12.75">
      <c r="A19" s="108"/>
      <c r="B19" s="108"/>
      <c r="C19" s="108"/>
    </row>
  </sheetData>
  <sheetProtection/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E149"/>
  <sheetViews>
    <sheetView showGridLines="0" tabSelected="1" zoomScaleSheetLayoutView="100" workbookViewId="0" topLeftCell="A58">
      <selection activeCell="C65" sqref="C65:C66"/>
    </sheetView>
  </sheetViews>
  <sheetFormatPr defaultColWidth="9.140625" defaultRowHeight="12.75"/>
  <cols>
    <col min="1" max="1" width="21.28125" style="0" customWidth="1"/>
    <col min="2" max="2" width="57.7109375" style="0" customWidth="1"/>
    <col min="3" max="3" width="15.140625" style="0" customWidth="1"/>
    <col min="4" max="4" width="13.7109375" style="1" customWidth="1"/>
    <col min="5" max="5" width="14.421875" style="0" bestFit="1" customWidth="1"/>
  </cols>
  <sheetData>
    <row r="1" spans="1:3" ht="12.75">
      <c r="A1" s="639" t="s">
        <v>508</v>
      </c>
      <c r="B1" s="639"/>
      <c r="C1" s="639"/>
    </row>
    <row r="2" spans="1:3" ht="12.75">
      <c r="A2" s="639" t="s">
        <v>519</v>
      </c>
      <c r="B2" s="639"/>
      <c r="C2" s="639"/>
    </row>
    <row r="3" spans="1:3" ht="12.75">
      <c r="A3" s="640" t="s">
        <v>215</v>
      </c>
      <c r="B3" s="640"/>
      <c r="C3" s="640"/>
    </row>
    <row r="4" spans="1:3" ht="12.75">
      <c r="A4" s="641" t="s">
        <v>450</v>
      </c>
      <c r="B4" s="641"/>
      <c r="C4" s="641"/>
    </row>
    <row r="5" spans="1:3" ht="12.75">
      <c r="A5" s="13"/>
      <c r="B5" s="44"/>
      <c r="C5" s="13" t="s">
        <v>509</v>
      </c>
    </row>
    <row r="6" spans="1:3" ht="33.75">
      <c r="A6" s="45" t="s">
        <v>510</v>
      </c>
      <c r="B6" s="46" t="s">
        <v>597</v>
      </c>
      <c r="C6" s="47" t="s">
        <v>151</v>
      </c>
    </row>
    <row r="7" spans="1:4" ht="12.75">
      <c r="A7" s="48" t="s">
        <v>598</v>
      </c>
      <c r="B7" s="49">
        <v>2</v>
      </c>
      <c r="C7" s="50" t="s">
        <v>599</v>
      </c>
      <c r="D7" s="143"/>
    </row>
    <row r="8" spans="1:5" ht="12.75">
      <c r="A8" s="91"/>
      <c r="B8" s="144" t="s">
        <v>152</v>
      </c>
      <c r="C8" s="168">
        <f>C9+C95</f>
        <v>355235566.39</v>
      </c>
      <c r="E8" s="51"/>
    </row>
    <row r="9" spans="1:5" ht="12.75">
      <c r="A9" s="145" t="s">
        <v>511</v>
      </c>
      <c r="B9" s="146" t="s">
        <v>512</v>
      </c>
      <c r="C9" s="169">
        <f>C10+C25+C37+C45+C49+C60+C67+C72+C76+C16</f>
        <v>99977568</v>
      </c>
      <c r="E9" s="51"/>
    </row>
    <row r="10" spans="1:3" ht="12.75">
      <c r="A10" s="147" t="s">
        <v>513</v>
      </c>
      <c r="B10" s="148" t="s">
        <v>105</v>
      </c>
      <c r="C10" s="170">
        <f>C11</f>
        <v>49115414</v>
      </c>
    </row>
    <row r="11" spans="1:3" ht="12.75">
      <c r="A11" s="147" t="s">
        <v>106</v>
      </c>
      <c r="B11" s="148" t="s">
        <v>107</v>
      </c>
      <c r="C11" s="170">
        <f>SUM(C12:C15)</f>
        <v>49115414</v>
      </c>
    </row>
    <row r="12" spans="1:3" ht="69" customHeight="1">
      <c r="A12" s="149" t="s">
        <v>108</v>
      </c>
      <c r="B12" s="166" t="s">
        <v>76</v>
      </c>
      <c r="C12" s="171">
        <v>48864537</v>
      </c>
    </row>
    <row r="13" spans="1:3" ht="93" customHeight="1">
      <c r="A13" s="149" t="s">
        <v>109</v>
      </c>
      <c r="B13" s="166" t="s">
        <v>8</v>
      </c>
      <c r="C13" s="171">
        <v>39895</v>
      </c>
    </row>
    <row r="14" spans="1:3" ht="38.25">
      <c r="A14" s="149" t="s">
        <v>110</v>
      </c>
      <c r="B14" s="150" t="s">
        <v>111</v>
      </c>
      <c r="C14" s="171">
        <v>210958.6</v>
      </c>
    </row>
    <row r="15" spans="1:3" ht="51">
      <c r="A15" s="149" t="s">
        <v>352</v>
      </c>
      <c r="B15" s="201" t="s">
        <v>339</v>
      </c>
      <c r="C15" s="171">
        <v>23.4</v>
      </c>
    </row>
    <row r="16" spans="1:3" ht="25.5">
      <c r="A16" s="147" t="s">
        <v>112</v>
      </c>
      <c r="B16" s="148" t="s">
        <v>113</v>
      </c>
      <c r="C16" s="170">
        <f>C18+C20+C22+C24</f>
        <v>2744792</v>
      </c>
    </row>
    <row r="17" spans="1:3" ht="63.75">
      <c r="A17" s="149" t="s">
        <v>114</v>
      </c>
      <c r="B17" s="150" t="s">
        <v>115</v>
      </c>
      <c r="C17" s="171">
        <v>1257202</v>
      </c>
    </row>
    <row r="18" spans="1:3" ht="89.25">
      <c r="A18" s="149" t="s">
        <v>693</v>
      </c>
      <c r="B18" s="166" t="s">
        <v>694</v>
      </c>
      <c r="C18" s="171">
        <v>1257202</v>
      </c>
    </row>
    <row r="19" spans="1:3" ht="77.25" customHeight="1">
      <c r="A19" s="149" t="s">
        <v>116</v>
      </c>
      <c r="B19" s="166" t="s">
        <v>9</v>
      </c>
      <c r="C19" s="171">
        <v>8543</v>
      </c>
    </row>
    <row r="20" spans="1:3" ht="105" customHeight="1">
      <c r="A20" s="149" t="s">
        <v>695</v>
      </c>
      <c r="B20" s="166" t="s">
        <v>696</v>
      </c>
      <c r="C20" s="171">
        <v>8543</v>
      </c>
    </row>
    <row r="21" spans="1:3" ht="63.75">
      <c r="A21" s="149" t="s">
        <v>338</v>
      </c>
      <c r="B21" s="150" t="s">
        <v>856</v>
      </c>
      <c r="C21" s="171">
        <v>1657861</v>
      </c>
    </row>
    <row r="22" spans="1:3" ht="102">
      <c r="A22" s="149" t="s">
        <v>697</v>
      </c>
      <c r="B22" s="150" t="s">
        <v>698</v>
      </c>
      <c r="C22" s="171">
        <v>1657861</v>
      </c>
    </row>
    <row r="23" spans="1:3" ht="63.75">
      <c r="A23" s="149" t="s">
        <v>857</v>
      </c>
      <c r="B23" s="150" t="s">
        <v>858</v>
      </c>
      <c r="C23" s="171">
        <v>-178814</v>
      </c>
    </row>
    <row r="24" spans="1:3" ht="102">
      <c r="A24" s="149" t="s">
        <v>699</v>
      </c>
      <c r="B24" s="150" t="s">
        <v>700</v>
      </c>
      <c r="C24" s="171">
        <v>-178814</v>
      </c>
    </row>
    <row r="25" spans="1:3" ht="12.75">
      <c r="A25" s="147" t="s">
        <v>859</v>
      </c>
      <c r="B25" s="148" t="s">
        <v>860</v>
      </c>
      <c r="C25" s="170">
        <f>C26+C31+C33+C35</f>
        <v>9736772</v>
      </c>
    </row>
    <row r="26" spans="1:3" ht="25.5">
      <c r="A26" s="149" t="s">
        <v>861</v>
      </c>
      <c r="B26" s="150" t="s">
        <v>862</v>
      </c>
      <c r="C26" s="172">
        <f>C27+C29</f>
        <v>245000</v>
      </c>
    </row>
    <row r="27" spans="1:3" ht="25.5">
      <c r="A27" s="149" t="s">
        <v>863</v>
      </c>
      <c r="B27" s="150" t="s">
        <v>864</v>
      </c>
      <c r="C27" s="172">
        <f>C28</f>
        <v>120954</v>
      </c>
    </row>
    <row r="28" spans="1:3" ht="25.5">
      <c r="A28" s="149" t="s">
        <v>865</v>
      </c>
      <c r="B28" s="150" t="s">
        <v>864</v>
      </c>
      <c r="C28" s="171">
        <v>120954</v>
      </c>
    </row>
    <row r="29" spans="1:3" ht="38.25">
      <c r="A29" s="149" t="s">
        <v>866</v>
      </c>
      <c r="B29" s="150" t="s">
        <v>867</v>
      </c>
      <c r="C29" s="172">
        <f>C30</f>
        <v>124046</v>
      </c>
    </row>
    <row r="30" spans="1:3" ht="51">
      <c r="A30" s="149" t="s">
        <v>868</v>
      </c>
      <c r="B30" s="150" t="s">
        <v>869</v>
      </c>
      <c r="C30" s="171">
        <v>124046</v>
      </c>
    </row>
    <row r="31" spans="1:3" ht="25.5">
      <c r="A31" s="149" t="s">
        <v>870</v>
      </c>
      <c r="B31" s="150" t="s">
        <v>378</v>
      </c>
      <c r="C31" s="172">
        <f>C32</f>
        <v>8448286</v>
      </c>
    </row>
    <row r="32" spans="1:3" ht="25.5">
      <c r="A32" s="149" t="s">
        <v>379</v>
      </c>
      <c r="B32" s="150" t="s">
        <v>378</v>
      </c>
      <c r="C32" s="171">
        <v>8448286</v>
      </c>
    </row>
    <row r="33" spans="1:3" ht="12.75">
      <c r="A33" s="149" t="s">
        <v>380</v>
      </c>
      <c r="B33" s="150" t="s">
        <v>381</v>
      </c>
      <c r="C33" s="172">
        <f>SUM(C34:C34)</f>
        <v>1025868</v>
      </c>
    </row>
    <row r="34" spans="1:3" ht="12.75">
      <c r="A34" s="149" t="s">
        <v>382</v>
      </c>
      <c r="B34" s="150" t="s">
        <v>383</v>
      </c>
      <c r="C34" s="171">
        <v>1025868</v>
      </c>
    </row>
    <row r="35" spans="1:3" ht="31.5" customHeight="1">
      <c r="A35" s="149" t="s">
        <v>159</v>
      </c>
      <c r="B35" s="150" t="s">
        <v>160</v>
      </c>
      <c r="C35" s="171">
        <v>17618</v>
      </c>
    </row>
    <row r="36" spans="1:3" ht="30" customHeight="1">
      <c r="A36" s="149" t="s">
        <v>161</v>
      </c>
      <c r="B36" s="150" t="s">
        <v>162</v>
      </c>
      <c r="C36" s="171">
        <v>17618</v>
      </c>
    </row>
    <row r="37" spans="1:3" ht="12.75">
      <c r="A37" s="147" t="s">
        <v>384</v>
      </c>
      <c r="B37" s="148" t="s">
        <v>385</v>
      </c>
      <c r="C37" s="170">
        <f>C38+C40</f>
        <v>14899549</v>
      </c>
    </row>
    <row r="38" spans="1:3" ht="12.75">
      <c r="A38" s="149" t="s">
        <v>386</v>
      </c>
      <c r="B38" s="150" t="s">
        <v>387</v>
      </c>
      <c r="C38" s="172">
        <f>C39</f>
        <v>3411000</v>
      </c>
    </row>
    <row r="39" spans="1:3" ht="38.25">
      <c r="A39" s="149" t="s">
        <v>388</v>
      </c>
      <c r="B39" s="150" t="s">
        <v>276</v>
      </c>
      <c r="C39" s="171">
        <v>3411000</v>
      </c>
    </row>
    <row r="40" spans="1:3" ht="12.75">
      <c r="A40" s="149" t="s">
        <v>277</v>
      </c>
      <c r="B40" s="150" t="s">
        <v>278</v>
      </c>
      <c r="C40" s="173">
        <f>C41+C43</f>
        <v>11488549</v>
      </c>
    </row>
    <row r="41" spans="1:3" ht="12.75">
      <c r="A41" s="149" t="s">
        <v>279</v>
      </c>
      <c r="B41" s="150" t="s">
        <v>280</v>
      </c>
      <c r="C41" s="172">
        <f>C42</f>
        <v>7951220</v>
      </c>
    </row>
    <row r="42" spans="1:3" ht="25.5">
      <c r="A42" s="149" t="s">
        <v>674</v>
      </c>
      <c r="B42" s="150" t="s">
        <v>675</v>
      </c>
      <c r="C42" s="171">
        <v>7951220</v>
      </c>
    </row>
    <row r="43" spans="1:3" ht="12.75">
      <c r="A43" s="149" t="s">
        <v>676</v>
      </c>
      <c r="B43" s="150" t="s">
        <v>677</v>
      </c>
      <c r="C43" s="172">
        <f>C44</f>
        <v>3537329</v>
      </c>
    </row>
    <row r="44" spans="1:3" ht="25.5">
      <c r="A44" s="149" t="s">
        <v>678</v>
      </c>
      <c r="B44" s="150" t="s">
        <v>679</v>
      </c>
      <c r="C44" s="171">
        <v>3537329</v>
      </c>
    </row>
    <row r="45" spans="1:3" ht="12.75">
      <c r="A45" s="147" t="s">
        <v>680</v>
      </c>
      <c r="B45" s="148" t="s">
        <v>681</v>
      </c>
      <c r="C45" s="170">
        <f>C46+C48</f>
        <v>3524094</v>
      </c>
    </row>
    <row r="46" spans="1:3" ht="25.5">
      <c r="A46" s="149" t="s">
        <v>682</v>
      </c>
      <c r="B46" s="150" t="s">
        <v>683</v>
      </c>
      <c r="C46" s="172">
        <f>C47</f>
        <v>3519094</v>
      </c>
    </row>
    <row r="47" spans="1:3" ht="39" customHeight="1">
      <c r="A47" s="149" t="s">
        <v>303</v>
      </c>
      <c r="B47" s="150" t="s">
        <v>304</v>
      </c>
      <c r="C47" s="171">
        <v>3519094</v>
      </c>
    </row>
    <row r="48" spans="1:3" ht="27" customHeight="1">
      <c r="A48" s="399" t="s">
        <v>305</v>
      </c>
      <c r="B48" s="201" t="s">
        <v>306</v>
      </c>
      <c r="C48" s="171">
        <v>5000</v>
      </c>
    </row>
    <row r="49" spans="1:3" ht="39.75" customHeight="1">
      <c r="A49" s="147" t="s">
        <v>307</v>
      </c>
      <c r="B49" s="148" t="s">
        <v>308</v>
      </c>
      <c r="C49" s="170">
        <f>C50+C55+C57</f>
        <v>4994695</v>
      </c>
    </row>
    <row r="50" spans="1:3" ht="76.5" customHeight="1">
      <c r="A50" s="149" t="s">
        <v>309</v>
      </c>
      <c r="B50" s="166" t="s">
        <v>10</v>
      </c>
      <c r="C50" s="172">
        <f>C51+C53</f>
        <v>3936983</v>
      </c>
    </row>
    <row r="51" spans="1:3" ht="54.75" customHeight="1">
      <c r="A51" s="149" t="s">
        <v>310</v>
      </c>
      <c r="B51" s="150" t="s">
        <v>591</v>
      </c>
      <c r="C51" s="172">
        <f>C52</f>
        <v>1937484</v>
      </c>
    </row>
    <row r="52" spans="1:3" ht="63.75">
      <c r="A52" s="149" t="s">
        <v>744</v>
      </c>
      <c r="B52" s="150" t="s">
        <v>745</v>
      </c>
      <c r="C52" s="171">
        <v>1937484</v>
      </c>
    </row>
    <row r="53" spans="1:3" ht="38.25">
      <c r="A53" s="149" t="s">
        <v>746</v>
      </c>
      <c r="B53" s="150" t="s">
        <v>747</v>
      </c>
      <c r="C53" s="172">
        <f>C54</f>
        <v>1999499</v>
      </c>
    </row>
    <row r="54" spans="1:3" ht="32.25" customHeight="1">
      <c r="A54" s="149" t="s">
        <v>748</v>
      </c>
      <c r="B54" s="150" t="s">
        <v>318</v>
      </c>
      <c r="C54" s="171">
        <v>1999499</v>
      </c>
    </row>
    <row r="55" spans="1:3" ht="25.5">
      <c r="A55" s="149" t="s">
        <v>319</v>
      </c>
      <c r="B55" s="150" t="s">
        <v>770</v>
      </c>
      <c r="C55" s="172">
        <f>C56</f>
        <v>14270</v>
      </c>
    </row>
    <row r="56" spans="1:3" ht="38.25">
      <c r="A56" s="149" t="s">
        <v>771</v>
      </c>
      <c r="B56" s="150" t="s">
        <v>772</v>
      </c>
      <c r="C56" s="171">
        <f>72000-57730</f>
        <v>14270</v>
      </c>
    </row>
    <row r="57" spans="1:3" ht="68.25" customHeight="1">
      <c r="A57" s="149" t="s">
        <v>773</v>
      </c>
      <c r="B57" s="166" t="s">
        <v>592</v>
      </c>
      <c r="C57" s="172">
        <f>C58</f>
        <v>1043442</v>
      </c>
    </row>
    <row r="58" spans="1:3" ht="65.25" customHeight="1">
      <c r="A58" s="149" t="s">
        <v>774</v>
      </c>
      <c r="B58" s="166" t="s">
        <v>593</v>
      </c>
      <c r="C58" s="172">
        <f>C59</f>
        <v>1043442</v>
      </c>
    </row>
    <row r="59" spans="1:3" ht="63.75">
      <c r="A59" s="149" t="s">
        <v>775</v>
      </c>
      <c r="B59" s="150" t="s">
        <v>776</v>
      </c>
      <c r="C59" s="171">
        <v>1043442</v>
      </c>
    </row>
    <row r="60" spans="1:3" ht="12.75">
      <c r="A60" s="147" t="s">
        <v>777</v>
      </c>
      <c r="B60" s="148" t="s">
        <v>778</v>
      </c>
      <c r="C60" s="170">
        <f>C61</f>
        <v>20034</v>
      </c>
    </row>
    <row r="61" spans="1:3" ht="12.75">
      <c r="A61" s="149" t="s">
        <v>779</v>
      </c>
      <c r="B61" s="151" t="s">
        <v>780</v>
      </c>
      <c r="C61" s="172">
        <f>SUM(C62:C64)</f>
        <v>20034</v>
      </c>
    </row>
    <row r="62" spans="1:3" ht="25.5">
      <c r="A62" s="149" t="s">
        <v>781</v>
      </c>
      <c r="B62" s="152" t="s">
        <v>782</v>
      </c>
      <c r="C62" s="171">
        <v>3400</v>
      </c>
    </row>
    <row r="63" spans="1:3" ht="20.25" customHeight="1">
      <c r="A63" s="149" t="s">
        <v>783</v>
      </c>
      <c r="B63" s="152" t="s">
        <v>784</v>
      </c>
      <c r="C63" s="171">
        <v>25746</v>
      </c>
    </row>
    <row r="64" spans="1:3" ht="18" customHeight="1">
      <c r="A64" s="149" t="s">
        <v>785</v>
      </c>
      <c r="B64" s="152" t="s">
        <v>786</v>
      </c>
      <c r="C64" s="171">
        <f>+C65+C66</f>
        <v>-9112</v>
      </c>
    </row>
    <row r="65" spans="1:3" ht="18" customHeight="1">
      <c r="A65" s="149" t="s">
        <v>701</v>
      </c>
      <c r="B65" s="204" t="s">
        <v>702</v>
      </c>
      <c r="C65" s="171">
        <v>242</v>
      </c>
    </row>
    <row r="66" spans="1:3" ht="18" customHeight="1">
      <c r="A66" s="149" t="s">
        <v>55</v>
      </c>
      <c r="B66" s="650" t="s">
        <v>54</v>
      </c>
      <c r="C66" s="171">
        <v>-9354</v>
      </c>
    </row>
    <row r="67" spans="1:3" ht="25.5">
      <c r="A67" s="147" t="s">
        <v>787</v>
      </c>
      <c r="B67" s="403" t="s">
        <v>788</v>
      </c>
      <c r="C67" s="170">
        <f>C68+C71</f>
        <v>11819800</v>
      </c>
    </row>
    <row r="68" spans="1:3" ht="25.5">
      <c r="A68" s="149" t="s">
        <v>789</v>
      </c>
      <c r="B68" s="151" t="s">
        <v>790</v>
      </c>
      <c r="C68" s="172">
        <f>C69</f>
        <v>11819650</v>
      </c>
    </row>
    <row r="69" spans="1:3" ht="25.5">
      <c r="A69" s="149" t="s">
        <v>791</v>
      </c>
      <c r="B69" s="151" t="s">
        <v>790</v>
      </c>
      <c r="C69" s="171">
        <v>11819650</v>
      </c>
    </row>
    <row r="70" spans="1:3" ht="12.75">
      <c r="A70" s="400" t="s">
        <v>340</v>
      </c>
      <c r="B70" s="204" t="s">
        <v>341</v>
      </c>
      <c r="C70" s="171">
        <v>150</v>
      </c>
    </row>
    <row r="71" spans="1:3" ht="25.5">
      <c r="A71" s="401" t="s">
        <v>928</v>
      </c>
      <c r="B71" s="195" t="s">
        <v>929</v>
      </c>
      <c r="C71" s="171">
        <v>150</v>
      </c>
    </row>
    <row r="72" spans="1:3" ht="25.5">
      <c r="A72" s="402" t="s">
        <v>792</v>
      </c>
      <c r="B72" s="403" t="s">
        <v>793</v>
      </c>
      <c r="C72" s="170">
        <f>C73</f>
        <v>911000</v>
      </c>
    </row>
    <row r="73" spans="1:3" ht="25.5">
      <c r="A73" s="149" t="s">
        <v>795</v>
      </c>
      <c r="B73" s="151" t="s">
        <v>796</v>
      </c>
      <c r="C73" s="172">
        <f>C74</f>
        <v>911000</v>
      </c>
    </row>
    <row r="74" spans="1:3" ht="25.5">
      <c r="A74" s="149" t="s">
        <v>797</v>
      </c>
      <c r="B74" s="151" t="s">
        <v>798</v>
      </c>
      <c r="C74" s="172">
        <f>C75</f>
        <v>911000</v>
      </c>
    </row>
    <row r="75" spans="1:3" ht="38.25">
      <c r="A75" s="149" t="s">
        <v>799</v>
      </c>
      <c r="B75" s="151" t="s">
        <v>715</v>
      </c>
      <c r="C75" s="171">
        <v>911000</v>
      </c>
    </row>
    <row r="76" spans="1:5" ht="12.75">
      <c r="A76" s="147" t="s">
        <v>716</v>
      </c>
      <c r="B76" s="148" t="s">
        <v>717</v>
      </c>
      <c r="C76" s="170">
        <f>C77+C80+C81+C84+C86+C89+C90+C92+C93</f>
        <v>2211418</v>
      </c>
      <c r="E76" s="51"/>
    </row>
    <row r="77" spans="1:3" ht="25.5">
      <c r="A77" s="149" t="s">
        <v>718</v>
      </c>
      <c r="B77" s="150" t="s">
        <v>719</v>
      </c>
      <c r="C77" s="172">
        <f>SUM(C78:C79)</f>
        <v>104700</v>
      </c>
    </row>
    <row r="78" spans="1:3" ht="63.75">
      <c r="A78" s="149" t="s">
        <v>720</v>
      </c>
      <c r="B78" s="150" t="s">
        <v>721</v>
      </c>
      <c r="C78" s="171">
        <v>70700</v>
      </c>
    </row>
    <row r="79" spans="1:3" ht="51">
      <c r="A79" s="149" t="s">
        <v>722</v>
      </c>
      <c r="B79" s="150" t="s">
        <v>880</v>
      </c>
      <c r="C79" s="171">
        <v>34000</v>
      </c>
    </row>
    <row r="80" spans="1:3" ht="51">
      <c r="A80" s="149" t="s">
        <v>881</v>
      </c>
      <c r="B80" s="150" t="s">
        <v>882</v>
      </c>
      <c r="C80" s="171">
        <v>182000</v>
      </c>
    </row>
    <row r="81" spans="1:3" ht="51">
      <c r="A81" s="149" t="s">
        <v>883</v>
      </c>
      <c r="B81" s="150" t="s">
        <v>884</v>
      </c>
      <c r="C81" s="172">
        <f>SUM(C82:C83)</f>
        <v>84000</v>
      </c>
    </row>
    <row r="82" spans="1:3" ht="52.5" customHeight="1">
      <c r="A82" s="149" t="s">
        <v>885</v>
      </c>
      <c r="B82" s="150" t="s">
        <v>886</v>
      </c>
      <c r="C82" s="171">
        <v>51000</v>
      </c>
    </row>
    <row r="83" spans="1:3" ht="44.25" customHeight="1">
      <c r="A83" s="198" t="s">
        <v>887</v>
      </c>
      <c r="B83" s="199" t="s">
        <v>888</v>
      </c>
      <c r="C83" s="174">
        <f>23000+5000+5000</f>
        <v>33000</v>
      </c>
    </row>
    <row r="84" spans="1:3" ht="44.25" customHeight="1">
      <c r="A84" s="200" t="s">
        <v>703</v>
      </c>
      <c r="B84" s="195" t="s">
        <v>704</v>
      </c>
      <c r="C84" s="174">
        <v>172900</v>
      </c>
    </row>
    <row r="85" spans="1:3" ht="44.25" customHeight="1">
      <c r="A85" s="197" t="s">
        <v>705</v>
      </c>
      <c r="B85" s="195" t="s">
        <v>755</v>
      </c>
      <c r="C85" s="174">
        <v>172900</v>
      </c>
    </row>
    <row r="86" spans="1:3" ht="93.75" customHeight="1">
      <c r="A86" s="149" t="s">
        <v>889</v>
      </c>
      <c r="B86" s="219" t="s">
        <v>33</v>
      </c>
      <c r="C86" s="172">
        <f>SUM(C87:C88)</f>
        <v>26000</v>
      </c>
    </row>
    <row r="87" spans="1:3" ht="25.5">
      <c r="A87" s="149" t="s">
        <v>890</v>
      </c>
      <c r="B87" s="150" t="s">
        <v>891</v>
      </c>
      <c r="C87" s="174">
        <v>16000</v>
      </c>
    </row>
    <row r="88" spans="1:3" ht="27" customHeight="1">
      <c r="A88" s="149" t="s">
        <v>243</v>
      </c>
      <c r="B88" s="150" t="s">
        <v>244</v>
      </c>
      <c r="C88" s="174">
        <v>10000</v>
      </c>
    </row>
    <row r="89" spans="1:3" ht="51">
      <c r="A89" s="149" t="s">
        <v>892</v>
      </c>
      <c r="B89" s="150" t="s">
        <v>893</v>
      </c>
      <c r="C89" s="171">
        <v>821579</v>
      </c>
    </row>
    <row r="90" spans="1:3" ht="25.5">
      <c r="A90" s="149" t="s">
        <v>894</v>
      </c>
      <c r="B90" s="150" t="s">
        <v>895</v>
      </c>
      <c r="C90" s="172">
        <f>C91</f>
        <v>45500</v>
      </c>
    </row>
    <row r="91" spans="1:3" ht="25.5">
      <c r="A91" s="149" t="s">
        <v>896</v>
      </c>
      <c r="B91" s="150" t="s">
        <v>407</v>
      </c>
      <c r="C91" s="174">
        <v>45500</v>
      </c>
    </row>
    <row r="92" spans="1:3" ht="50.25" customHeight="1">
      <c r="A92" s="149" t="s">
        <v>3</v>
      </c>
      <c r="B92" s="150" t="s">
        <v>4</v>
      </c>
      <c r="C92" s="171">
        <v>111700</v>
      </c>
    </row>
    <row r="93" spans="1:3" ht="25.5">
      <c r="A93" s="149" t="s">
        <v>5</v>
      </c>
      <c r="B93" s="150" t="s">
        <v>6</v>
      </c>
      <c r="C93" s="172">
        <f>C94</f>
        <v>663039</v>
      </c>
    </row>
    <row r="94" spans="1:3" ht="38.25">
      <c r="A94" s="142" t="s">
        <v>7</v>
      </c>
      <c r="B94" s="153" t="s">
        <v>897</v>
      </c>
      <c r="C94" s="175">
        <v>663039</v>
      </c>
    </row>
    <row r="95" spans="1:3" ht="12.75">
      <c r="A95" s="92" t="s">
        <v>274</v>
      </c>
      <c r="B95" s="93" t="s">
        <v>231</v>
      </c>
      <c r="C95" s="176">
        <f>C96+C145+C149</f>
        <v>255257998.39000002</v>
      </c>
    </row>
    <row r="96" spans="1:3" ht="25.5">
      <c r="A96" s="94" t="s">
        <v>275</v>
      </c>
      <c r="B96" s="95" t="s">
        <v>30</v>
      </c>
      <c r="C96" s="177">
        <f>C97+C104+C114+C142</f>
        <v>254919250</v>
      </c>
    </row>
    <row r="97" spans="1:3" ht="25.5">
      <c r="A97" s="94" t="s">
        <v>262</v>
      </c>
      <c r="B97" s="95" t="s">
        <v>607</v>
      </c>
      <c r="C97" s="177">
        <f>C98+C100+C102</f>
        <v>67561499</v>
      </c>
    </row>
    <row r="98" spans="1:3" ht="16.5" customHeight="1">
      <c r="A98" s="96" t="s">
        <v>263</v>
      </c>
      <c r="B98" s="39" t="s">
        <v>232</v>
      </c>
      <c r="C98" s="178">
        <f>C99</f>
        <v>41639395</v>
      </c>
    </row>
    <row r="99" spans="1:3" ht="25.5">
      <c r="A99" s="96" t="s">
        <v>264</v>
      </c>
      <c r="B99" s="39" t="s">
        <v>608</v>
      </c>
      <c r="C99" s="179">
        <f>25656003+15983392</f>
        <v>41639395</v>
      </c>
    </row>
    <row r="100" spans="1:3" ht="25.5">
      <c r="A100" s="96" t="s">
        <v>342</v>
      </c>
      <c r="B100" s="39" t="s">
        <v>706</v>
      </c>
      <c r="C100" s="179">
        <f>C101</f>
        <v>23789752</v>
      </c>
    </row>
    <row r="101" spans="1:3" ht="25.5">
      <c r="A101" s="202" t="s">
        <v>343</v>
      </c>
      <c r="B101" s="39" t="s">
        <v>707</v>
      </c>
      <c r="C101" s="179">
        <f>21208235+2581517</f>
        <v>23789752</v>
      </c>
    </row>
    <row r="102" spans="1:3" ht="12.75">
      <c r="A102" s="401" t="s">
        <v>35</v>
      </c>
      <c r="B102" s="39" t="s">
        <v>36</v>
      </c>
      <c r="C102" s="179">
        <v>2132352</v>
      </c>
    </row>
    <row r="103" spans="1:3" ht="15">
      <c r="A103" s="204" t="s">
        <v>37</v>
      </c>
      <c r="B103" s="197" t="s">
        <v>38</v>
      </c>
      <c r="C103" s="179">
        <v>2132352</v>
      </c>
    </row>
    <row r="104" spans="1:3" ht="25.5">
      <c r="A104" s="384" t="s">
        <v>344</v>
      </c>
      <c r="B104" s="383" t="s">
        <v>708</v>
      </c>
      <c r="C104" s="179">
        <f>C105+C106+C107</f>
        <v>27275252</v>
      </c>
    </row>
    <row r="105" spans="1:3" ht="38.25">
      <c r="A105" s="386" t="s">
        <v>710</v>
      </c>
      <c r="B105" s="404" t="s">
        <v>362</v>
      </c>
      <c r="C105" s="179">
        <v>1971433</v>
      </c>
    </row>
    <row r="106" spans="1:3" ht="38.25">
      <c r="A106" s="385" t="s">
        <v>345</v>
      </c>
      <c r="B106" s="189" t="s">
        <v>709</v>
      </c>
      <c r="C106" s="179">
        <v>8904531</v>
      </c>
    </row>
    <row r="107" spans="1:3" ht="12.75">
      <c r="A107" s="387" t="s">
        <v>346</v>
      </c>
      <c r="B107" s="387" t="s">
        <v>363</v>
      </c>
      <c r="C107" s="179">
        <v>16399288</v>
      </c>
    </row>
    <row r="108" spans="1:3" ht="63.75">
      <c r="A108" s="387" t="s">
        <v>346</v>
      </c>
      <c r="B108" s="388" t="s">
        <v>364</v>
      </c>
      <c r="C108" s="179">
        <v>223284</v>
      </c>
    </row>
    <row r="109" spans="1:3" ht="25.5">
      <c r="A109" s="387" t="s">
        <v>346</v>
      </c>
      <c r="B109" s="607" t="s">
        <v>365</v>
      </c>
      <c r="C109" s="179">
        <v>1180303</v>
      </c>
    </row>
    <row r="110" spans="1:3" ht="25.5">
      <c r="A110" s="387" t="s">
        <v>346</v>
      </c>
      <c r="B110" s="201" t="s">
        <v>347</v>
      </c>
      <c r="C110" s="179">
        <v>4950000</v>
      </c>
    </row>
    <row r="111" spans="1:3" ht="51">
      <c r="A111" s="387" t="s">
        <v>346</v>
      </c>
      <c r="B111" s="387" t="s">
        <v>366</v>
      </c>
      <c r="C111" s="179">
        <v>500219</v>
      </c>
    </row>
    <row r="112" spans="1:3" ht="25.5">
      <c r="A112" s="387" t="s">
        <v>346</v>
      </c>
      <c r="B112" s="387" t="s">
        <v>367</v>
      </c>
      <c r="C112" s="179">
        <v>5095842</v>
      </c>
    </row>
    <row r="113" spans="1:3" ht="38.25" customHeight="1">
      <c r="A113" s="387" t="s">
        <v>346</v>
      </c>
      <c r="B113" s="201" t="s">
        <v>348</v>
      </c>
      <c r="C113" s="179">
        <v>4449640</v>
      </c>
    </row>
    <row r="114" spans="1:3" ht="25.5">
      <c r="A114" s="94" t="s">
        <v>265</v>
      </c>
      <c r="B114" s="95" t="s">
        <v>233</v>
      </c>
      <c r="C114" s="177">
        <f>C115+C117+C119+C121</f>
        <v>160022499</v>
      </c>
    </row>
    <row r="115" spans="1:3" ht="39" customHeight="1">
      <c r="A115" s="14" t="s">
        <v>266</v>
      </c>
      <c r="B115" s="39" t="s">
        <v>179</v>
      </c>
      <c r="C115" s="178">
        <f>C116</f>
        <v>140297</v>
      </c>
    </row>
    <row r="116" spans="1:3" ht="38.25">
      <c r="A116" s="14" t="s">
        <v>267</v>
      </c>
      <c r="B116" s="39" t="s">
        <v>613</v>
      </c>
      <c r="C116" s="179">
        <v>140297</v>
      </c>
    </row>
    <row r="117" spans="1:3" ht="38.25">
      <c r="A117" s="14" t="s">
        <v>268</v>
      </c>
      <c r="B117" s="39" t="s">
        <v>234</v>
      </c>
      <c r="C117" s="178">
        <f>C118</f>
        <v>4284341</v>
      </c>
    </row>
    <row r="118" spans="1:3" ht="38.25">
      <c r="A118" s="630" t="s">
        <v>269</v>
      </c>
      <c r="B118" s="39" t="s">
        <v>235</v>
      </c>
      <c r="C118" s="179">
        <f>4039316+245025</f>
        <v>4284341</v>
      </c>
    </row>
    <row r="119" spans="1:3" ht="51">
      <c r="A119" s="386" t="s">
        <v>349</v>
      </c>
      <c r="B119" s="195" t="s">
        <v>456</v>
      </c>
      <c r="C119" s="179">
        <v>9720</v>
      </c>
    </row>
    <row r="120" spans="1:3" ht="51">
      <c r="A120" s="386" t="s">
        <v>350</v>
      </c>
      <c r="B120" s="396" t="s">
        <v>457</v>
      </c>
      <c r="C120" s="179">
        <v>9720</v>
      </c>
    </row>
    <row r="121" spans="1:3" ht="12.75">
      <c r="A121" s="203" t="s">
        <v>270</v>
      </c>
      <c r="B121" s="97" t="s">
        <v>236</v>
      </c>
      <c r="C121" s="178">
        <f>C122</f>
        <v>155588141</v>
      </c>
    </row>
    <row r="122" spans="1:3" ht="12.75">
      <c r="A122" s="203" t="s">
        <v>270</v>
      </c>
      <c r="B122" s="97" t="s">
        <v>95</v>
      </c>
      <c r="C122" s="178">
        <f>SUM(C123:C126)+SUM(C128:C130)+C133+C139</f>
        <v>155588141</v>
      </c>
    </row>
    <row r="123" spans="1:3" ht="76.5">
      <c r="A123" s="203" t="s">
        <v>270</v>
      </c>
      <c r="B123" s="39" t="s">
        <v>84</v>
      </c>
      <c r="C123" s="179">
        <v>296000</v>
      </c>
    </row>
    <row r="124" spans="1:3" ht="90.75" customHeight="1">
      <c r="A124" s="203" t="s">
        <v>270</v>
      </c>
      <c r="B124" s="39" t="s">
        <v>496</v>
      </c>
      <c r="C124" s="179">
        <v>296000</v>
      </c>
    </row>
    <row r="125" spans="1:3" ht="76.5">
      <c r="A125" s="14" t="s">
        <v>270</v>
      </c>
      <c r="B125" s="39" t="s">
        <v>47</v>
      </c>
      <c r="C125" s="179">
        <v>296000</v>
      </c>
    </row>
    <row r="126" spans="1:3" ht="76.5">
      <c r="A126" s="14" t="s">
        <v>270</v>
      </c>
      <c r="B126" s="39" t="s">
        <v>594</v>
      </c>
      <c r="C126" s="178">
        <f>C127</f>
        <v>888000</v>
      </c>
    </row>
    <row r="127" spans="1:3" ht="12.75">
      <c r="A127" s="96"/>
      <c r="B127" s="98" t="s">
        <v>237</v>
      </c>
      <c r="C127" s="179">
        <v>888000</v>
      </c>
    </row>
    <row r="128" spans="1:3" ht="102" customHeight="1">
      <c r="A128" s="14" t="s">
        <v>270</v>
      </c>
      <c r="B128" s="39" t="s">
        <v>273</v>
      </c>
      <c r="C128" s="179">
        <f>84125248+4157764</f>
        <v>88283012</v>
      </c>
    </row>
    <row r="129" spans="1:3" ht="102">
      <c r="A129" s="14" t="s">
        <v>270</v>
      </c>
      <c r="B129" s="39" t="s">
        <v>191</v>
      </c>
      <c r="C129" s="179">
        <f>45776894+2322911</f>
        <v>48099805</v>
      </c>
    </row>
    <row r="130" spans="1:3" ht="100.5" customHeight="1">
      <c r="A130" s="14" t="s">
        <v>270</v>
      </c>
      <c r="B130" s="99" t="s">
        <v>743</v>
      </c>
      <c r="C130" s="178">
        <f>SUM(C131:C132)</f>
        <v>4429548</v>
      </c>
    </row>
    <row r="131" spans="1:3" ht="51">
      <c r="A131" s="96"/>
      <c r="B131" s="192" t="s">
        <v>657</v>
      </c>
      <c r="C131" s="179">
        <v>221676</v>
      </c>
    </row>
    <row r="132" spans="1:3" ht="25.5">
      <c r="A132" s="96"/>
      <c r="B132" s="192" t="s">
        <v>238</v>
      </c>
      <c r="C132" s="179">
        <f>3907872+300000</f>
        <v>4207872</v>
      </c>
    </row>
    <row r="133" spans="1:3" ht="63.75" customHeight="1">
      <c r="A133" s="14" t="s">
        <v>270</v>
      </c>
      <c r="B133" s="39" t="s">
        <v>11</v>
      </c>
      <c r="C133" s="178">
        <f>SUM(C134:C138)</f>
        <v>11864865</v>
      </c>
    </row>
    <row r="134" spans="1:3" ht="38.25">
      <c r="A134" s="96"/>
      <c r="B134" s="98" t="s">
        <v>239</v>
      </c>
      <c r="C134" s="179">
        <v>124300</v>
      </c>
    </row>
    <row r="135" spans="1:3" ht="25.5">
      <c r="A135" s="96"/>
      <c r="B135" s="98" t="s">
        <v>240</v>
      </c>
      <c r="C135" s="179">
        <v>7994472</v>
      </c>
    </row>
    <row r="136" spans="1:3" ht="51">
      <c r="A136" s="96"/>
      <c r="B136" s="98" t="s">
        <v>154</v>
      </c>
      <c r="C136" s="179">
        <v>398671</v>
      </c>
    </row>
    <row r="137" spans="1:3" ht="12.75">
      <c r="A137" s="96"/>
      <c r="B137" s="98" t="s">
        <v>155</v>
      </c>
      <c r="C137" s="179">
        <f>1199422+76000</f>
        <v>1275422</v>
      </c>
    </row>
    <row r="138" spans="1:3" ht="38.25">
      <c r="A138" s="96"/>
      <c r="B138" s="98" t="s">
        <v>156</v>
      </c>
      <c r="C138" s="179">
        <v>2072000</v>
      </c>
    </row>
    <row r="139" spans="1:3" ht="78.75" customHeight="1">
      <c r="A139" s="14" t="s">
        <v>270</v>
      </c>
      <c r="B139" s="99" t="s">
        <v>595</v>
      </c>
      <c r="C139" s="179">
        <f>SUM(C140:C141)</f>
        <v>1134911</v>
      </c>
    </row>
    <row r="140" spans="1:3" ht="25.5">
      <c r="A140" s="96"/>
      <c r="B140" s="98" t="s">
        <v>194</v>
      </c>
      <c r="C140" s="179">
        <v>986911</v>
      </c>
    </row>
    <row r="141" spans="1:3" ht="51">
      <c r="A141" s="202"/>
      <c r="B141" s="155" t="s">
        <v>195</v>
      </c>
      <c r="C141" s="180">
        <v>148000</v>
      </c>
    </row>
    <row r="142" spans="1:3" ht="12.75">
      <c r="A142" s="203" t="s">
        <v>756</v>
      </c>
      <c r="B142" s="204" t="s">
        <v>757</v>
      </c>
      <c r="C142" s="180">
        <v>60000</v>
      </c>
    </row>
    <row r="143" spans="1:3" ht="38.25">
      <c r="A143" s="203" t="s">
        <v>758</v>
      </c>
      <c r="B143" s="195" t="s">
        <v>759</v>
      </c>
      <c r="C143" s="180">
        <v>60000</v>
      </c>
    </row>
    <row r="144" spans="1:3" ht="51">
      <c r="A144" s="203" t="s">
        <v>760</v>
      </c>
      <c r="B144" s="195" t="s">
        <v>281</v>
      </c>
      <c r="C144" s="180">
        <v>60000</v>
      </c>
    </row>
    <row r="145" spans="1:3" ht="12.75">
      <c r="A145" s="203" t="s">
        <v>723</v>
      </c>
      <c r="B145" s="205" t="s">
        <v>282</v>
      </c>
      <c r="C145" s="180">
        <f>C146</f>
        <v>587472.31</v>
      </c>
    </row>
    <row r="146" spans="1:3" ht="25.5">
      <c r="A146" s="204" t="s">
        <v>283</v>
      </c>
      <c r="B146" s="99" t="s">
        <v>284</v>
      </c>
      <c r="C146" s="180">
        <f>C147+C148</f>
        <v>587472.31</v>
      </c>
    </row>
    <row r="147" spans="1:3" ht="38.25">
      <c r="A147" s="203" t="s">
        <v>285</v>
      </c>
      <c r="B147" s="201" t="s">
        <v>286</v>
      </c>
      <c r="C147" s="180">
        <f>408472.31+20000</f>
        <v>428472.31</v>
      </c>
    </row>
    <row r="148" spans="1:3" ht="25.5">
      <c r="A148" s="389" t="s">
        <v>368</v>
      </c>
      <c r="B148" s="390" t="s">
        <v>284</v>
      </c>
      <c r="C148" s="180">
        <v>159000</v>
      </c>
    </row>
    <row r="149" spans="1:3" ht="39" thickBot="1">
      <c r="A149" s="203" t="s">
        <v>287</v>
      </c>
      <c r="B149" s="206" t="s">
        <v>288</v>
      </c>
      <c r="C149" s="180">
        <v>-248723.92</v>
      </c>
    </row>
  </sheetData>
  <sheetProtection/>
  <mergeCells count="4">
    <mergeCell ref="A1:C1"/>
    <mergeCell ref="A2:C2"/>
    <mergeCell ref="A3:C3"/>
    <mergeCell ref="A4:C4"/>
  </mergeCells>
  <hyperlinks>
    <hyperlink ref="B105" r:id="rId1" display="dst100015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9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19"/>
  <sheetViews>
    <sheetView showGridLines="0" zoomScaleSheetLayoutView="100" workbookViewId="0" topLeftCell="A1">
      <selection activeCell="D3" sqref="D3"/>
    </sheetView>
  </sheetViews>
  <sheetFormatPr defaultColWidth="9.140625" defaultRowHeight="12.75"/>
  <cols>
    <col min="1" max="1" width="21.28125" style="0" customWidth="1"/>
    <col min="2" max="2" width="56.7109375" style="0" customWidth="1"/>
    <col min="3" max="3" width="15.28125" style="0" customWidth="1"/>
    <col min="4" max="4" width="15.28125" style="1" customWidth="1"/>
    <col min="5" max="6" width="15.140625" style="0" customWidth="1"/>
  </cols>
  <sheetData>
    <row r="1" spans="2:4" ht="12.75">
      <c r="B1" s="101"/>
      <c r="C1" s="101"/>
      <c r="D1" s="101" t="s">
        <v>321</v>
      </c>
    </row>
    <row r="2" spans="2:4" ht="12.75">
      <c r="B2" s="101"/>
      <c r="C2" s="101"/>
      <c r="D2" s="101" t="s">
        <v>519</v>
      </c>
    </row>
    <row r="3" spans="2:4" ht="12.75">
      <c r="B3" s="101"/>
      <c r="C3" s="101"/>
      <c r="D3" s="68" t="s">
        <v>351</v>
      </c>
    </row>
    <row r="4" spans="1:4" ht="12.75">
      <c r="A4" s="102" t="s">
        <v>69</v>
      </c>
      <c r="B4" s="102"/>
      <c r="C4" s="102"/>
      <c r="D4" s="103"/>
    </row>
    <row r="5" spans="1:4" ht="12.75">
      <c r="A5" s="13"/>
      <c r="B5" s="44"/>
      <c r="C5" s="13"/>
      <c r="D5" s="13" t="s">
        <v>509</v>
      </c>
    </row>
    <row r="6" spans="1:4" ht="33.75">
      <c r="A6" s="45" t="s">
        <v>510</v>
      </c>
      <c r="B6" s="46" t="s">
        <v>597</v>
      </c>
      <c r="C6" s="47" t="s">
        <v>241</v>
      </c>
      <c r="D6" s="47" t="s">
        <v>70</v>
      </c>
    </row>
    <row r="7" spans="1:6" ht="12.75">
      <c r="A7" s="48" t="s">
        <v>598</v>
      </c>
      <c r="B7" s="49">
        <v>2</v>
      </c>
      <c r="C7" s="50" t="s">
        <v>599</v>
      </c>
      <c r="D7" s="50" t="s">
        <v>599</v>
      </c>
      <c r="E7" s="51"/>
      <c r="F7" s="51"/>
    </row>
    <row r="8" spans="1:5" ht="12.75">
      <c r="A8" s="91"/>
      <c r="B8" s="144" t="s">
        <v>152</v>
      </c>
      <c r="C8" s="168">
        <f>C9+C89</f>
        <v>244505984</v>
      </c>
      <c r="D8" s="168">
        <f>D9+D89</f>
        <v>241409166</v>
      </c>
      <c r="E8" s="51"/>
    </row>
    <row r="9" spans="1:5" ht="12.75">
      <c r="A9" s="156" t="s">
        <v>511</v>
      </c>
      <c r="B9" s="157" t="s">
        <v>512</v>
      </c>
      <c r="C9" s="181">
        <f>C10+C24+C36+C44+C47+C58+C63+C66+C70+C15</f>
        <v>117687346</v>
      </c>
      <c r="D9" s="181">
        <f>D10+D24+D36+D44+D47+D58+D63+D66+D70+D15</f>
        <v>114986760</v>
      </c>
      <c r="E9" s="51"/>
    </row>
    <row r="10" spans="1:4" ht="12.75">
      <c r="A10" s="158" t="s">
        <v>513</v>
      </c>
      <c r="B10" s="159" t="s">
        <v>105</v>
      </c>
      <c r="C10" s="182">
        <f>C11</f>
        <v>60713990</v>
      </c>
      <c r="D10" s="182">
        <f>D11</f>
        <v>64705088</v>
      </c>
    </row>
    <row r="11" spans="1:4" ht="12.75">
      <c r="A11" s="158" t="s">
        <v>106</v>
      </c>
      <c r="B11" s="159" t="s">
        <v>107</v>
      </c>
      <c r="C11" s="182">
        <f>SUM(C12:C14)</f>
        <v>60713990</v>
      </c>
      <c r="D11" s="182">
        <f>SUM(D12:D14)</f>
        <v>64705088</v>
      </c>
    </row>
    <row r="12" spans="1:4" ht="63.75">
      <c r="A12" s="160" t="s">
        <v>108</v>
      </c>
      <c r="B12" s="166" t="s">
        <v>76</v>
      </c>
      <c r="C12" s="183">
        <v>60408404</v>
      </c>
      <c r="D12" s="183">
        <v>64389451</v>
      </c>
    </row>
    <row r="13" spans="1:4" ht="89.25">
      <c r="A13" s="160" t="s">
        <v>109</v>
      </c>
      <c r="B13" s="166" t="s">
        <v>8</v>
      </c>
      <c r="C13" s="183">
        <v>71568</v>
      </c>
      <c r="D13" s="183">
        <v>76277</v>
      </c>
    </row>
    <row r="14" spans="1:4" ht="38.25">
      <c r="A14" s="160" t="s">
        <v>110</v>
      </c>
      <c r="B14" s="161" t="s">
        <v>111</v>
      </c>
      <c r="C14" s="183">
        <v>234018</v>
      </c>
      <c r="D14" s="183">
        <v>239360</v>
      </c>
    </row>
    <row r="15" spans="1:4" ht="25.5">
      <c r="A15" s="158" t="s">
        <v>112</v>
      </c>
      <c r="B15" s="159" t="s">
        <v>113</v>
      </c>
      <c r="C15" s="170">
        <f>C17+C19+C21+C23</f>
        <v>2565592</v>
      </c>
      <c r="D15" s="170">
        <f>D17+D19+D21+D23</f>
        <v>2565592</v>
      </c>
    </row>
    <row r="16" spans="1:4" ht="63.75">
      <c r="A16" s="160" t="s">
        <v>114</v>
      </c>
      <c r="B16" s="161" t="s">
        <v>115</v>
      </c>
      <c r="C16" s="183">
        <v>975933</v>
      </c>
      <c r="D16" s="183">
        <v>975933</v>
      </c>
    </row>
    <row r="17" spans="1:4" ht="76.5">
      <c r="A17" s="149" t="s">
        <v>693</v>
      </c>
      <c r="B17" s="166" t="s">
        <v>9</v>
      </c>
      <c r="C17" s="183">
        <v>975933</v>
      </c>
      <c r="D17" s="183">
        <v>975933</v>
      </c>
    </row>
    <row r="18" spans="1:4" ht="76.5">
      <c r="A18" s="160" t="s">
        <v>116</v>
      </c>
      <c r="B18" s="166" t="s">
        <v>9</v>
      </c>
      <c r="C18" s="183">
        <v>6662</v>
      </c>
      <c r="D18" s="183">
        <v>6662</v>
      </c>
    </row>
    <row r="19" spans="1:4" ht="114.75">
      <c r="A19" s="149" t="s">
        <v>695</v>
      </c>
      <c r="B19" s="166" t="s">
        <v>696</v>
      </c>
      <c r="C19" s="183">
        <v>6662</v>
      </c>
      <c r="D19" s="183">
        <v>6662</v>
      </c>
    </row>
    <row r="20" spans="1:4" ht="63.75">
      <c r="A20" s="160" t="s">
        <v>338</v>
      </c>
      <c r="B20" s="161" t="s">
        <v>856</v>
      </c>
      <c r="C20" s="183">
        <v>1752010</v>
      </c>
      <c r="D20" s="183">
        <v>1752010</v>
      </c>
    </row>
    <row r="21" spans="1:4" ht="102">
      <c r="A21" s="149" t="s">
        <v>697</v>
      </c>
      <c r="B21" s="150" t="s">
        <v>698</v>
      </c>
      <c r="C21" s="183">
        <v>1752010</v>
      </c>
      <c r="D21" s="183">
        <v>1752010</v>
      </c>
    </row>
    <row r="22" spans="1:4" ht="63.75">
      <c r="A22" s="160" t="s">
        <v>857</v>
      </c>
      <c r="B22" s="161" t="s">
        <v>858</v>
      </c>
      <c r="C22" s="183">
        <v>-169013</v>
      </c>
      <c r="D22" s="183">
        <v>-169013</v>
      </c>
    </row>
    <row r="23" spans="1:4" ht="102">
      <c r="A23" s="149" t="s">
        <v>699</v>
      </c>
      <c r="B23" s="150" t="s">
        <v>700</v>
      </c>
      <c r="C23" s="183">
        <v>-169013</v>
      </c>
      <c r="D23" s="183">
        <v>-169013</v>
      </c>
    </row>
    <row r="24" spans="1:4" ht="12.75">
      <c r="A24" s="158" t="s">
        <v>859</v>
      </c>
      <c r="B24" s="159" t="s">
        <v>860</v>
      </c>
      <c r="C24" s="182">
        <f>C25+C30+C32+C34</f>
        <v>9852503</v>
      </c>
      <c r="D24" s="182">
        <f>D25+D30+D32+D34</f>
        <v>3104519</v>
      </c>
    </row>
    <row r="25" spans="1:4" ht="25.5">
      <c r="A25" s="160" t="s">
        <v>861</v>
      </c>
      <c r="B25" s="161" t="s">
        <v>862</v>
      </c>
      <c r="C25" s="184">
        <f>C26+C28</f>
        <v>427593</v>
      </c>
      <c r="D25" s="184">
        <f>D26+D28</f>
        <v>444696</v>
      </c>
    </row>
    <row r="26" spans="1:4" ht="25.5">
      <c r="A26" s="160" t="s">
        <v>863</v>
      </c>
      <c r="B26" s="161" t="s">
        <v>864</v>
      </c>
      <c r="C26" s="184">
        <f>C27</f>
        <v>196685</v>
      </c>
      <c r="D26" s="184">
        <f>D27</f>
        <v>204552</v>
      </c>
    </row>
    <row r="27" spans="1:4" ht="25.5">
      <c r="A27" s="160" t="s">
        <v>865</v>
      </c>
      <c r="B27" s="161" t="s">
        <v>864</v>
      </c>
      <c r="C27" s="183">
        <v>196685</v>
      </c>
      <c r="D27" s="183">
        <v>204552</v>
      </c>
    </row>
    <row r="28" spans="1:4" ht="38.25">
      <c r="A28" s="160" t="s">
        <v>866</v>
      </c>
      <c r="B28" s="161" t="s">
        <v>867</v>
      </c>
      <c r="C28" s="184">
        <f>C29</f>
        <v>230908</v>
      </c>
      <c r="D28" s="184">
        <f>D29</f>
        <v>240144</v>
      </c>
    </row>
    <row r="29" spans="1:4" ht="51">
      <c r="A29" s="160" t="s">
        <v>868</v>
      </c>
      <c r="B29" s="161" t="s">
        <v>869</v>
      </c>
      <c r="C29" s="183">
        <v>230908</v>
      </c>
      <c r="D29" s="183">
        <v>240144</v>
      </c>
    </row>
    <row r="30" spans="1:4" ht="25.5">
      <c r="A30" s="160" t="s">
        <v>870</v>
      </c>
      <c r="B30" s="161" t="s">
        <v>378</v>
      </c>
      <c r="C30" s="184">
        <f>C31</f>
        <v>9041765</v>
      </c>
      <c r="D30" s="184">
        <f>D31</f>
        <v>2260441</v>
      </c>
    </row>
    <row r="31" spans="1:4" ht="25.5">
      <c r="A31" s="160" t="s">
        <v>379</v>
      </c>
      <c r="B31" s="161" t="s">
        <v>378</v>
      </c>
      <c r="C31" s="183">
        <v>9041765</v>
      </c>
      <c r="D31" s="183">
        <v>2260441</v>
      </c>
    </row>
    <row r="32" spans="1:4" ht="12.75">
      <c r="A32" s="160" t="s">
        <v>380</v>
      </c>
      <c r="B32" s="161" t="s">
        <v>381</v>
      </c>
      <c r="C32" s="184">
        <f>SUM(C33:C33)</f>
        <v>369013</v>
      </c>
      <c r="D32" s="184">
        <f>SUM(D33:D33)</f>
        <v>385250</v>
      </c>
    </row>
    <row r="33" spans="1:4" ht="12.75">
      <c r="A33" s="160" t="s">
        <v>382</v>
      </c>
      <c r="B33" s="161" t="s">
        <v>383</v>
      </c>
      <c r="C33" s="183">
        <v>369013</v>
      </c>
      <c r="D33" s="183">
        <v>385250</v>
      </c>
    </row>
    <row r="34" spans="1:4" ht="31.5" customHeight="1">
      <c r="A34" s="160" t="s">
        <v>159</v>
      </c>
      <c r="B34" s="161" t="s">
        <v>160</v>
      </c>
      <c r="C34" s="183">
        <v>14132</v>
      </c>
      <c r="D34" s="183">
        <v>14132</v>
      </c>
    </row>
    <row r="35" spans="1:4" ht="30" customHeight="1">
      <c r="A35" s="160" t="s">
        <v>161</v>
      </c>
      <c r="B35" s="161" t="s">
        <v>162</v>
      </c>
      <c r="C35" s="183">
        <v>14132</v>
      </c>
      <c r="D35" s="183">
        <v>14132</v>
      </c>
    </row>
    <row r="36" spans="1:4" ht="12.75">
      <c r="A36" s="158" t="s">
        <v>384</v>
      </c>
      <c r="B36" s="159" t="s">
        <v>385</v>
      </c>
      <c r="C36" s="182">
        <f>C37+C39</f>
        <v>18379733</v>
      </c>
      <c r="D36" s="182">
        <f>D37+D39</f>
        <v>18379733</v>
      </c>
    </row>
    <row r="37" spans="1:4" ht="12.75">
      <c r="A37" s="160" t="s">
        <v>386</v>
      </c>
      <c r="B37" s="161" t="s">
        <v>387</v>
      </c>
      <c r="C37" s="184">
        <f>C38</f>
        <v>3212556</v>
      </c>
      <c r="D37" s="184">
        <f>D38</f>
        <v>3212556</v>
      </c>
    </row>
    <row r="38" spans="1:4" ht="38.25">
      <c r="A38" s="160" t="s">
        <v>388</v>
      </c>
      <c r="B38" s="161" t="s">
        <v>276</v>
      </c>
      <c r="C38" s="183">
        <v>3212556</v>
      </c>
      <c r="D38" s="183">
        <v>3212556</v>
      </c>
    </row>
    <row r="39" spans="1:4" ht="12.75">
      <c r="A39" s="160" t="s">
        <v>277</v>
      </c>
      <c r="B39" s="161" t="s">
        <v>278</v>
      </c>
      <c r="C39" s="185">
        <f>C40+C42</f>
        <v>15167177</v>
      </c>
      <c r="D39" s="185">
        <f>D40+D42</f>
        <v>15167177</v>
      </c>
    </row>
    <row r="40" spans="1:4" ht="12.75">
      <c r="A40" s="160" t="s">
        <v>279</v>
      </c>
      <c r="B40" s="161" t="s">
        <v>280</v>
      </c>
      <c r="C40" s="184">
        <f>C41</f>
        <v>8731892</v>
      </c>
      <c r="D40" s="184">
        <f>D41</f>
        <v>8731892</v>
      </c>
    </row>
    <row r="41" spans="1:4" ht="25.5">
      <c r="A41" s="160" t="s">
        <v>674</v>
      </c>
      <c r="B41" s="161" t="s">
        <v>675</v>
      </c>
      <c r="C41" s="183">
        <v>8731892</v>
      </c>
      <c r="D41" s="183">
        <v>8731892</v>
      </c>
    </row>
    <row r="42" spans="1:4" ht="12.75">
      <c r="A42" s="160" t="s">
        <v>676</v>
      </c>
      <c r="B42" s="161" t="s">
        <v>677</v>
      </c>
      <c r="C42" s="184">
        <f>C43</f>
        <v>6435285</v>
      </c>
      <c r="D42" s="184">
        <f>D43</f>
        <v>6435285</v>
      </c>
    </row>
    <row r="43" spans="1:4" ht="25.5">
      <c r="A43" s="160" t="s">
        <v>678</v>
      </c>
      <c r="B43" s="161" t="s">
        <v>679</v>
      </c>
      <c r="C43" s="183">
        <v>6435285</v>
      </c>
      <c r="D43" s="183">
        <v>6435285</v>
      </c>
    </row>
    <row r="44" spans="1:4" ht="12.75">
      <c r="A44" s="158" t="s">
        <v>680</v>
      </c>
      <c r="B44" s="159" t="s">
        <v>681</v>
      </c>
      <c r="C44" s="182">
        <f>C45</f>
        <v>3199568</v>
      </c>
      <c r="D44" s="182">
        <f>D45</f>
        <v>3199568</v>
      </c>
    </row>
    <row r="45" spans="1:4" ht="25.5">
      <c r="A45" s="160" t="s">
        <v>682</v>
      </c>
      <c r="B45" s="161" t="s">
        <v>683</v>
      </c>
      <c r="C45" s="184">
        <f>C46</f>
        <v>3199568</v>
      </c>
      <c r="D45" s="184">
        <f>D46</f>
        <v>3199568</v>
      </c>
    </row>
    <row r="46" spans="1:4" ht="38.25" customHeight="1">
      <c r="A46" s="160" t="s">
        <v>303</v>
      </c>
      <c r="B46" s="161" t="s">
        <v>304</v>
      </c>
      <c r="C46" s="183">
        <v>3199568</v>
      </c>
      <c r="D46" s="183">
        <v>3199568</v>
      </c>
    </row>
    <row r="47" spans="1:4" ht="39.75" customHeight="1">
      <c r="A47" s="158" t="s">
        <v>307</v>
      </c>
      <c r="B47" s="159" t="s">
        <v>308</v>
      </c>
      <c r="C47" s="182">
        <f>C48+C53+C55</f>
        <v>4952694</v>
      </c>
      <c r="D47" s="182">
        <f>D48+D53+D55</f>
        <v>5008994</v>
      </c>
    </row>
    <row r="48" spans="1:4" ht="76.5">
      <c r="A48" s="160" t="s">
        <v>309</v>
      </c>
      <c r="B48" s="166" t="s">
        <v>10</v>
      </c>
      <c r="C48" s="184">
        <f>C49+C51</f>
        <v>3671694</v>
      </c>
      <c r="D48" s="184">
        <f>D49+D51</f>
        <v>3671694</v>
      </c>
    </row>
    <row r="49" spans="1:4" ht="63.75">
      <c r="A49" s="160" t="s">
        <v>310</v>
      </c>
      <c r="B49" s="150" t="s">
        <v>591</v>
      </c>
      <c r="C49" s="184">
        <f>C50</f>
        <v>1671694</v>
      </c>
      <c r="D49" s="184">
        <f>D50</f>
        <v>1671694</v>
      </c>
    </row>
    <row r="50" spans="1:4" ht="63.75">
      <c r="A50" s="160" t="s">
        <v>744</v>
      </c>
      <c r="B50" s="150" t="s">
        <v>745</v>
      </c>
      <c r="C50" s="183">
        <v>1671694</v>
      </c>
      <c r="D50" s="183">
        <v>1671694</v>
      </c>
    </row>
    <row r="51" spans="1:4" ht="38.25">
      <c r="A51" s="160" t="s">
        <v>746</v>
      </c>
      <c r="B51" s="161" t="s">
        <v>747</v>
      </c>
      <c r="C51" s="184">
        <f>C52</f>
        <v>2000000</v>
      </c>
      <c r="D51" s="184">
        <f>D52</f>
        <v>2000000</v>
      </c>
    </row>
    <row r="52" spans="1:4" ht="32.25" customHeight="1">
      <c r="A52" s="160" t="s">
        <v>748</v>
      </c>
      <c r="B52" s="161" t="s">
        <v>318</v>
      </c>
      <c r="C52" s="183">
        <v>2000000</v>
      </c>
      <c r="D52" s="183">
        <v>2000000</v>
      </c>
    </row>
    <row r="53" spans="1:4" ht="25.5">
      <c r="A53" s="160" t="s">
        <v>319</v>
      </c>
      <c r="B53" s="161" t="s">
        <v>770</v>
      </c>
      <c r="C53" s="184">
        <f>C54</f>
        <v>81000</v>
      </c>
      <c r="D53" s="184">
        <f>D54</f>
        <v>87300</v>
      </c>
    </row>
    <row r="54" spans="1:4" ht="51">
      <c r="A54" s="160" t="s">
        <v>771</v>
      </c>
      <c r="B54" s="161" t="s">
        <v>772</v>
      </c>
      <c r="C54" s="183">
        <v>81000</v>
      </c>
      <c r="D54" s="183">
        <v>87300</v>
      </c>
    </row>
    <row r="55" spans="1:4" ht="81.75" customHeight="1">
      <c r="A55" s="160" t="s">
        <v>773</v>
      </c>
      <c r="B55" s="166" t="s">
        <v>592</v>
      </c>
      <c r="C55" s="184">
        <f>C56</f>
        <v>1200000</v>
      </c>
      <c r="D55" s="184">
        <f>D56</f>
        <v>1250000</v>
      </c>
    </row>
    <row r="56" spans="1:4" ht="78" customHeight="1">
      <c r="A56" s="160" t="s">
        <v>774</v>
      </c>
      <c r="B56" s="166" t="s">
        <v>593</v>
      </c>
      <c r="C56" s="184">
        <f>C57</f>
        <v>1200000</v>
      </c>
      <c r="D56" s="184">
        <f>D57</f>
        <v>1250000</v>
      </c>
    </row>
    <row r="57" spans="1:4" ht="63.75">
      <c r="A57" s="160" t="s">
        <v>775</v>
      </c>
      <c r="B57" s="150" t="s">
        <v>776</v>
      </c>
      <c r="C57" s="183">
        <v>1200000</v>
      </c>
      <c r="D57" s="183">
        <v>1250000</v>
      </c>
    </row>
    <row r="58" spans="1:4" ht="25.5">
      <c r="A58" s="158" t="s">
        <v>777</v>
      </c>
      <c r="B58" s="159" t="s">
        <v>778</v>
      </c>
      <c r="C58" s="182">
        <f>C59</f>
        <v>90750</v>
      </c>
      <c r="D58" s="182">
        <f>D59</f>
        <v>90750</v>
      </c>
    </row>
    <row r="59" spans="1:4" ht="12.75">
      <c r="A59" s="160" t="s">
        <v>779</v>
      </c>
      <c r="B59" s="162" t="s">
        <v>780</v>
      </c>
      <c r="C59" s="184">
        <f>SUM(C60:C62)</f>
        <v>90750</v>
      </c>
      <c r="D59" s="184">
        <f>SUM(D60:D62)</f>
        <v>90750</v>
      </c>
    </row>
    <row r="60" spans="1:4" ht="25.5">
      <c r="A60" s="160" t="s">
        <v>781</v>
      </c>
      <c r="B60" s="163" t="s">
        <v>782</v>
      </c>
      <c r="C60" s="183">
        <v>4950</v>
      </c>
      <c r="D60" s="183">
        <v>4950</v>
      </c>
    </row>
    <row r="61" spans="1:4" ht="20.25" customHeight="1">
      <c r="A61" s="160" t="s">
        <v>783</v>
      </c>
      <c r="B61" s="163" t="s">
        <v>784</v>
      </c>
      <c r="C61" s="183">
        <v>63140</v>
      </c>
      <c r="D61" s="183">
        <v>63140</v>
      </c>
    </row>
    <row r="62" spans="1:4" ht="12.75">
      <c r="A62" s="160" t="s">
        <v>785</v>
      </c>
      <c r="B62" s="163" t="s">
        <v>786</v>
      </c>
      <c r="C62" s="183">
        <v>22660</v>
      </c>
      <c r="D62" s="183">
        <v>22660</v>
      </c>
    </row>
    <row r="63" spans="1:4" ht="25.5">
      <c r="A63" s="158" t="s">
        <v>787</v>
      </c>
      <c r="B63" s="159" t="s">
        <v>788</v>
      </c>
      <c r="C63" s="182">
        <f>C64</f>
        <v>15065505</v>
      </c>
      <c r="D63" s="182">
        <f>D64</f>
        <v>15065505</v>
      </c>
    </row>
    <row r="64" spans="1:4" ht="25.5">
      <c r="A64" s="160" t="s">
        <v>789</v>
      </c>
      <c r="B64" s="162" t="s">
        <v>790</v>
      </c>
      <c r="C64" s="184">
        <f>C65</f>
        <v>15065505</v>
      </c>
      <c r="D64" s="184">
        <f>D65</f>
        <v>15065505</v>
      </c>
    </row>
    <row r="65" spans="1:4" ht="25.5">
      <c r="A65" s="160" t="s">
        <v>791</v>
      </c>
      <c r="B65" s="162" t="s">
        <v>790</v>
      </c>
      <c r="C65" s="183">
        <v>15065505</v>
      </c>
      <c r="D65" s="183">
        <v>15065505</v>
      </c>
    </row>
    <row r="66" spans="1:4" ht="25.5">
      <c r="A66" s="158" t="s">
        <v>792</v>
      </c>
      <c r="B66" s="159" t="s">
        <v>793</v>
      </c>
      <c r="C66" s="182">
        <f aca="true" t="shared" si="0" ref="C66:D68">C67</f>
        <v>500000</v>
      </c>
      <c r="D66" s="182">
        <f t="shared" si="0"/>
        <v>500000</v>
      </c>
    </row>
    <row r="67" spans="1:4" ht="25.5">
      <c r="A67" s="160" t="s">
        <v>795</v>
      </c>
      <c r="B67" s="162" t="s">
        <v>796</v>
      </c>
      <c r="C67" s="184">
        <f t="shared" si="0"/>
        <v>500000</v>
      </c>
      <c r="D67" s="184">
        <f t="shared" si="0"/>
        <v>500000</v>
      </c>
    </row>
    <row r="68" spans="1:4" ht="25.5">
      <c r="A68" s="160" t="s">
        <v>797</v>
      </c>
      <c r="B68" s="162" t="s">
        <v>798</v>
      </c>
      <c r="C68" s="184">
        <f t="shared" si="0"/>
        <v>500000</v>
      </c>
      <c r="D68" s="184">
        <f t="shared" si="0"/>
        <v>500000</v>
      </c>
    </row>
    <row r="69" spans="1:4" ht="38.25">
      <c r="A69" s="160" t="s">
        <v>799</v>
      </c>
      <c r="B69" s="162" t="s">
        <v>715</v>
      </c>
      <c r="C69" s="183">
        <v>500000</v>
      </c>
      <c r="D69" s="183">
        <v>500000</v>
      </c>
    </row>
    <row r="70" spans="1:5" ht="12.75">
      <c r="A70" s="158" t="s">
        <v>716</v>
      </c>
      <c r="B70" s="159" t="s">
        <v>717</v>
      </c>
      <c r="C70" s="182">
        <f>C71+C74+C75+C78+C81+C82+C84+C86+C87</f>
        <v>2367011</v>
      </c>
      <c r="D70" s="182">
        <f>D71+D74+D75+D78+D81+D82+D84+D86+D87</f>
        <v>2367011</v>
      </c>
      <c r="E70" s="51"/>
    </row>
    <row r="71" spans="1:4" ht="25.5">
      <c r="A71" s="160" t="s">
        <v>718</v>
      </c>
      <c r="B71" s="161" t="s">
        <v>719</v>
      </c>
      <c r="C71" s="184">
        <f>SUM(C72:C73)</f>
        <v>148394</v>
      </c>
      <c r="D71" s="184">
        <f>SUM(D72:D73)</f>
        <v>148394</v>
      </c>
    </row>
    <row r="72" spans="1:4" ht="63.75">
      <c r="A72" s="160" t="s">
        <v>720</v>
      </c>
      <c r="B72" s="161" t="s">
        <v>721</v>
      </c>
      <c r="C72" s="183">
        <v>121615</v>
      </c>
      <c r="D72" s="183">
        <v>121615</v>
      </c>
    </row>
    <row r="73" spans="1:4" ht="51">
      <c r="A73" s="160" t="s">
        <v>722</v>
      </c>
      <c r="B73" s="161" t="s">
        <v>880</v>
      </c>
      <c r="C73" s="183">
        <v>26779</v>
      </c>
      <c r="D73" s="183">
        <v>26779</v>
      </c>
    </row>
    <row r="74" spans="1:4" ht="51">
      <c r="A74" s="160" t="s">
        <v>881</v>
      </c>
      <c r="B74" s="161" t="s">
        <v>882</v>
      </c>
      <c r="C74" s="183">
        <v>161000</v>
      </c>
      <c r="D74" s="183">
        <v>161000</v>
      </c>
    </row>
    <row r="75" spans="1:4" ht="51">
      <c r="A75" s="160" t="s">
        <v>883</v>
      </c>
      <c r="B75" s="161" t="s">
        <v>884</v>
      </c>
      <c r="C75" s="184">
        <f>C76+C77</f>
        <v>29000</v>
      </c>
      <c r="D75" s="184">
        <f>D76+D77</f>
        <v>29000</v>
      </c>
    </row>
    <row r="76" spans="1:4" ht="51">
      <c r="A76" s="160" t="s">
        <v>885</v>
      </c>
      <c r="B76" s="161" t="s">
        <v>886</v>
      </c>
      <c r="C76" s="183">
        <v>24000</v>
      </c>
      <c r="D76" s="183">
        <v>24000</v>
      </c>
    </row>
    <row r="77" spans="1:4" ht="38.25">
      <c r="A77" s="160" t="s">
        <v>887</v>
      </c>
      <c r="B77" s="161" t="s">
        <v>888</v>
      </c>
      <c r="C77" s="186">
        <v>5000</v>
      </c>
      <c r="D77" s="186">
        <v>5000</v>
      </c>
    </row>
    <row r="78" spans="1:4" ht="91.5" customHeight="1">
      <c r="A78" s="160" t="s">
        <v>889</v>
      </c>
      <c r="B78" s="219" t="s">
        <v>33</v>
      </c>
      <c r="C78" s="184">
        <f>SUM(C79:C80)</f>
        <v>4600</v>
      </c>
      <c r="D78" s="184">
        <f>SUM(D79:D80)</f>
        <v>4600</v>
      </c>
    </row>
    <row r="79" spans="1:4" ht="25.5">
      <c r="A79" s="160" t="s">
        <v>890</v>
      </c>
      <c r="B79" s="161" t="s">
        <v>891</v>
      </c>
      <c r="C79" s="186">
        <v>4000</v>
      </c>
      <c r="D79" s="186">
        <v>4000</v>
      </c>
    </row>
    <row r="80" spans="1:4" ht="24" customHeight="1">
      <c r="A80" s="160" t="s">
        <v>243</v>
      </c>
      <c r="B80" s="161" t="s">
        <v>244</v>
      </c>
      <c r="C80" s="186">
        <v>600</v>
      </c>
      <c r="D80" s="186">
        <v>600</v>
      </c>
    </row>
    <row r="81" spans="1:4" ht="51">
      <c r="A81" s="160" t="s">
        <v>892</v>
      </c>
      <c r="B81" s="161" t="s">
        <v>893</v>
      </c>
      <c r="C81" s="183">
        <v>916045</v>
      </c>
      <c r="D81" s="183">
        <v>916045</v>
      </c>
    </row>
    <row r="82" spans="1:4" ht="25.5">
      <c r="A82" s="160" t="s">
        <v>894</v>
      </c>
      <c r="B82" s="161" t="s">
        <v>895</v>
      </c>
      <c r="C82" s="184">
        <f>C83</f>
        <v>90500</v>
      </c>
      <c r="D82" s="184">
        <f>D83</f>
        <v>90500</v>
      </c>
    </row>
    <row r="83" spans="1:4" ht="25.5">
      <c r="A83" s="160" t="s">
        <v>896</v>
      </c>
      <c r="B83" s="161" t="s">
        <v>407</v>
      </c>
      <c r="C83" s="186">
        <v>90500</v>
      </c>
      <c r="D83" s="186">
        <v>90500</v>
      </c>
    </row>
    <row r="84" spans="1:4" ht="51">
      <c r="A84" s="160" t="s">
        <v>408</v>
      </c>
      <c r="B84" s="161" t="s">
        <v>409</v>
      </c>
      <c r="C84" s="187">
        <f>C85</f>
        <v>18000</v>
      </c>
      <c r="D84" s="187">
        <f>D85</f>
        <v>18000</v>
      </c>
    </row>
    <row r="85" spans="1:4" ht="51" customHeight="1">
      <c r="A85" s="160" t="s">
        <v>410</v>
      </c>
      <c r="B85" s="161" t="s">
        <v>2</v>
      </c>
      <c r="C85" s="186">
        <v>18000</v>
      </c>
      <c r="D85" s="186">
        <v>18000</v>
      </c>
    </row>
    <row r="86" spans="1:4" ht="50.25" customHeight="1">
      <c r="A86" s="160" t="s">
        <v>3</v>
      </c>
      <c r="B86" s="161" t="s">
        <v>4</v>
      </c>
      <c r="C86" s="183">
        <v>182242</v>
      </c>
      <c r="D86" s="183">
        <v>182242</v>
      </c>
    </row>
    <row r="87" spans="1:4" ht="25.5">
      <c r="A87" s="160" t="s">
        <v>5</v>
      </c>
      <c r="B87" s="161" t="s">
        <v>6</v>
      </c>
      <c r="C87" s="184">
        <f>C88</f>
        <v>817230</v>
      </c>
      <c r="D87" s="184">
        <f>D88</f>
        <v>817230</v>
      </c>
    </row>
    <row r="88" spans="1:4" ht="38.25">
      <c r="A88" s="164" t="s">
        <v>7</v>
      </c>
      <c r="B88" s="165" t="s">
        <v>897</v>
      </c>
      <c r="C88" s="188">
        <v>817230</v>
      </c>
      <c r="D88" s="188">
        <v>817230</v>
      </c>
    </row>
    <row r="89" spans="1:4" ht="12.75">
      <c r="A89" s="92" t="s">
        <v>274</v>
      </c>
      <c r="B89" s="93" t="s">
        <v>231</v>
      </c>
      <c r="C89" s="176">
        <f>C90</f>
        <v>126818638</v>
      </c>
      <c r="D89" s="176">
        <f>D90</f>
        <v>126422406</v>
      </c>
    </row>
    <row r="90" spans="1:4" ht="25.5">
      <c r="A90" s="94" t="s">
        <v>275</v>
      </c>
      <c r="B90" s="95" t="s">
        <v>30</v>
      </c>
      <c r="C90" s="177">
        <f>C91+C94</f>
        <v>126818638</v>
      </c>
      <c r="D90" s="177">
        <f>D91+D94</f>
        <v>126422406</v>
      </c>
    </row>
    <row r="91" spans="1:4" ht="25.5">
      <c r="A91" s="94" t="s">
        <v>262</v>
      </c>
      <c r="B91" s="95" t="s">
        <v>607</v>
      </c>
      <c r="C91" s="177">
        <f>C92</f>
        <v>1671469</v>
      </c>
      <c r="D91" s="177">
        <f>D92</f>
        <v>1275237</v>
      </c>
    </row>
    <row r="92" spans="1:4" ht="36" customHeight="1">
      <c r="A92" s="96" t="s">
        <v>263</v>
      </c>
      <c r="B92" s="39" t="s">
        <v>232</v>
      </c>
      <c r="C92" s="178">
        <f>C93</f>
        <v>1671469</v>
      </c>
      <c r="D92" s="178">
        <f>D93</f>
        <v>1275237</v>
      </c>
    </row>
    <row r="93" spans="1:4" ht="25.5">
      <c r="A93" s="96" t="s">
        <v>264</v>
      </c>
      <c r="B93" s="39" t="s">
        <v>608</v>
      </c>
      <c r="C93" s="179">
        <v>1671469</v>
      </c>
      <c r="D93" s="179">
        <v>1275237</v>
      </c>
    </row>
    <row r="94" spans="1:4" ht="25.5">
      <c r="A94" s="94" t="s">
        <v>265</v>
      </c>
      <c r="B94" s="95" t="s">
        <v>233</v>
      </c>
      <c r="C94" s="177">
        <f>C95+C97+C99</f>
        <v>125147169</v>
      </c>
      <c r="D94" s="177">
        <f>D95+D97+D99</f>
        <v>125147169</v>
      </c>
    </row>
    <row r="95" spans="1:4" ht="53.25" customHeight="1">
      <c r="A95" s="14" t="s">
        <v>266</v>
      </c>
      <c r="B95" s="39" t="s">
        <v>179</v>
      </c>
      <c r="C95" s="178">
        <f>C96</f>
        <v>136797</v>
      </c>
      <c r="D95" s="178">
        <f>D96</f>
        <v>136797</v>
      </c>
    </row>
    <row r="96" spans="1:4" ht="38.25">
      <c r="A96" s="14" t="s">
        <v>267</v>
      </c>
      <c r="B96" s="39" t="s">
        <v>613</v>
      </c>
      <c r="C96" s="179">
        <v>136797</v>
      </c>
      <c r="D96" s="179">
        <v>136797</v>
      </c>
    </row>
    <row r="97" spans="1:4" ht="38.25">
      <c r="A97" s="14" t="s">
        <v>268</v>
      </c>
      <c r="B97" s="39" t="s">
        <v>234</v>
      </c>
      <c r="C97" s="178">
        <f>C98</f>
        <v>4039316</v>
      </c>
      <c r="D97" s="178">
        <f>D98</f>
        <v>4039316</v>
      </c>
    </row>
    <row r="98" spans="1:4" ht="38.25">
      <c r="A98" s="14" t="s">
        <v>269</v>
      </c>
      <c r="B98" s="39" t="s">
        <v>235</v>
      </c>
      <c r="C98" s="179">
        <v>4039316</v>
      </c>
      <c r="D98" s="179">
        <v>4039316</v>
      </c>
    </row>
    <row r="99" spans="1:4" ht="12.75">
      <c r="A99" s="14" t="s">
        <v>270</v>
      </c>
      <c r="B99" s="97" t="s">
        <v>236</v>
      </c>
      <c r="C99" s="178">
        <f>C100</f>
        <v>120971056</v>
      </c>
      <c r="D99" s="178">
        <f>D100</f>
        <v>120971056</v>
      </c>
    </row>
    <row r="100" spans="1:4" ht="12.75">
      <c r="A100" s="14" t="s">
        <v>270</v>
      </c>
      <c r="B100" s="97" t="s">
        <v>95</v>
      </c>
      <c r="C100" s="178">
        <f>SUM(C101:C104)+SUM(C106:C108)+C111+C117</f>
        <v>120971056</v>
      </c>
      <c r="D100" s="178">
        <f>SUM(D101:D104)+SUM(D106:D108)+D111+D117</f>
        <v>120971056</v>
      </c>
    </row>
    <row r="101" spans="1:4" ht="89.25">
      <c r="A101" s="14" t="s">
        <v>270</v>
      </c>
      <c r="B101" s="39" t="s">
        <v>84</v>
      </c>
      <c r="C101" s="179">
        <v>296000</v>
      </c>
      <c r="D101" s="179">
        <v>296000</v>
      </c>
    </row>
    <row r="102" spans="1:4" ht="90.75" customHeight="1">
      <c r="A102" s="14" t="s">
        <v>270</v>
      </c>
      <c r="B102" s="39" t="s">
        <v>496</v>
      </c>
      <c r="C102" s="179">
        <v>296000</v>
      </c>
      <c r="D102" s="179">
        <v>296000</v>
      </c>
    </row>
    <row r="103" spans="1:4" ht="76.5">
      <c r="A103" s="14" t="s">
        <v>270</v>
      </c>
      <c r="B103" s="39" t="s">
        <v>47</v>
      </c>
      <c r="C103" s="179">
        <v>296000</v>
      </c>
      <c r="D103" s="179">
        <v>296000</v>
      </c>
    </row>
    <row r="104" spans="1:4" ht="89.25">
      <c r="A104" s="14" t="s">
        <v>270</v>
      </c>
      <c r="B104" s="39" t="s">
        <v>594</v>
      </c>
      <c r="C104" s="178">
        <f>C105</f>
        <v>888000</v>
      </c>
      <c r="D104" s="178">
        <f>D105</f>
        <v>888000</v>
      </c>
    </row>
    <row r="105" spans="1:4" ht="12.75">
      <c r="A105" s="96"/>
      <c r="B105" s="98" t="s">
        <v>237</v>
      </c>
      <c r="C105" s="179">
        <v>888000</v>
      </c>
      <c r="D105" s="179">
        <v>888000</v>
      </c>
    </row>
    <row r="106" spans="1:4" ht="102" customHeight="1">
      <c r="A106" s="14" t="s">
        <v>270</v>
      </c>
      <c r="B106" s="39" t="s">
        <v>273</v>
      </c>
      <c r="C106" s="179">
        <v>64095685</v>
      </c>
      <c r="D106" s="179">
        <v>64095685</v>
      </c>
    </row>
    <row r="107" spans="1:4" ht="102">
      <c r="A107" s="14" t="s">
        <v>270</v>
      </c>
      <c r="B107" s="39" t="s">
        <v>191</v>
      </c>
      <c r="C107" s="179">
        <v>38143787</v>
      </c>
      <c r="D107" s="179">
        <v>38143787</v>
      </c>
    </row>
    <row r="108" spans="1:4" ht="100.5" customHeight="1">
      <c r="A108" s="14" t="s">
        <v>270</v>
      </c>
      <c r="B108" s="99" t="s">
        <v>743</v>
      </c>
      <c r="C108" s="178">
        <f>SUM(C109:C110)</f>
        <v>4129548</v>
      </c>
      <c r="D108" s="178">
        <f>SUM(D109:D110)</f>
        <v>4129548</v>
      </c>
    </row>
    <row r="109" spans="1:4" ht="36">
      <c r="A109" s="96"/>
      <c r="B109" s="100" t="s">
        <v>657</v>
      </c>
      <c r="C109" s="179">
        <v>221676</v>
      </c>
      <c r="D109" s="179">
        <v>221676</v>
      </c>
    </row>
    <row r="110" spans="1:4" ht="24">
      <c r="A110" s="96"/>
      <c r="B110" s="100" t="s">
        <v>238</v>
      </c>
      <c r="C110" s="179">
        <v>3907872</v>
      </c>
      <c r="D110" s="179">
        <v>3907872</v>
      </c>
    </row>
    <row r="111" spans="1:4" ht="63.75" customHeight="1">
      <c r="A111" s="14" t="s">
        <v>270</v>
      </c>
      <c r="B111" s="39" t="s">
        <v>11</v>
      </c>
      <c r="C111" s="178">
        <f>SUM(C112:C116)</f>
        <v>12020095</v>
      </c>
      <c r="D111" s="178">
        <f>SUM(D112:D116)</f>
        <v>12020095</v>
      </c>
    </row>
    <row r="112" spans="1:4" ht="38.25">
      <c r="A112" s="96"/>
      <c r="B112" s="98" t="s">
        <v>239</v>
      </c>
      <c r="C112" s="179">
        <v>124300</v>
      </c>
      <c r="D112" s="179">
        <v>124300</v>
      </c>
    </row>
    <row r="113" spans="1:4" ht="25.5">
      <c r="A113" s="96"/>
      <c r="B113" s="98" t="s">
        <v>240</v>
      </c>
      <c r="C113" s="179">
        <v>7938092</v>
      </c>
      <c r="D113" s="179">
        <v>7938092</v>
      </c>
    </row>
    <row r="114" spans="1:4" ht="63.75">
      <c r="A114" s="96"/>
      <c r="B114" s="98" t="s">
        <v>154</v>
      </c>
      <c r="C114" s="179">
        <v>453215</v>
      </c>
      <c r="D114" s="179">
        <v>453215</v>
      </c>
    </row>
    <row r="115" spans="1:4" ht="12.75">
      <c r="A115" s="96"/>
      <c r="B115" s="98" t="s">
        <v>155</v>
      </c>
      <c r="C115" s="179">
        <v>1432488</v>
      </c>
      <c r="D115" s="179">
        <v>1432488</v>
      </c>
    </row>
    <row r="116" spans="1:4" ht="38.25">
      <c r="A116" s="96"/>
      <c r="B116" s="98" t="s">
        <v>156</v>
      </c>
      <c r="C116" s="179">
        <v>2072000</v>
      </c>
      <c r="D116" s="179">
        <v>2072000</v>
      </c>
    </row>
    <row r="117" spans="1:4" ht="76.5" customHeight="1">
      <c r="A117" s="14" t="s">
        <v>270</v>
      </c>
      <c r="B117" s="99" t="s">
        <v>595</v>
      </c>
      <c r="C117" s="179">
        <f>SUM(C118:C119)</f>
        <v>805941</v>
      </c>
      <c r="D117" s="179">
        <f>SUM(D118:D119)</f>
        <v>805941</v>
      </c>
    </row>
    <row r="118" spans="1:4" ht="25.5">
      <c r="A118" s="96"/>
      <c r="B118" s="98" t="s">
        <v>596</v>
      </c>
      <c r="C118" s="179">
        <v>657941</v>
      </c>
      <c r="D118" s="179">
        <v>657941</v>
      </c>
    </row>
    <row r="119" spans="1:4" ht="51">
      <c r="A119" s="154"/>
      <c r="B119" s="155" t="s">
        <v>393</v>
      </c>
      <c r="C119" s="180">
        <v>148000</v>
      </c>
      <c r="D119" s="180">
        <v>148000</v>
      </c>
    </row>
  </sheetData>
  <sheetProtection/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H384"/>
  <sheetViews>
    <sheetView showGridLines="0" zoomScaleSheetLayoutView="100" workbookViewId="0" topLeftCell="A1">
      <selection activeCell="B3" sqref="B3:F3"/>
    </sheetView>
  </sheetViews>
  <sheetFormatPr defaultColWidth="9.140625" defaultRowHeight="12.75"/>
  <cols>
    <col min="1" max="1" width="54.140625" style="211" customWidth="1"/>
    <col min="2" max="2" width="3.8515625" style="211" customWidth="1"/>
    <col min="3" max="3" width="4.57421875" style="211" customWidth="1"/>
    <col min="4" max="4" width="13.28125" style="211" customWidth="1"/>
    <col min="5" max="5" width="4.57421875" style="211" customWidth="1"/>
    <col min="6" max="6" width="14.421875" style="226" customWidth="1"/>
    <col min="7" max="7" width="14.7109375" style="211" customWidth="1"/>
    <col min="8" max="8" width="9.140625" style="231" customWidth="1"/>
    <col min="9" max="16384" width="9.140625" style="211" customWidth="1"/>
  </cols>
  <sheetData>
    <row r="1" spans="1:6" ht="12.75">
      <c r="A1" s="207"/>
      <c r="B1" s="305"/>
      <c r="C1" s="305"/>
      <c r="D1" s="305"/>
      <c r="E1" s="305"/>
      <c r="F1" s="210" t="s">
        <v>474</v>
      </c>
    </row>
    <row r="2" spans="1:6" ht="12.75">
      <c r="A2" s="207"/>
      <c r="B2" s="305"/>
      <c r="C2" s="305"/>
      <c r="D2" s="305"/>
      <c r="E2" s="305"/>
      <c r="F2" s="66" t="s">
        <v>519</v>
      </c>
    </row>
    <row r="3" spans="1:6" ht="12.75">
      <c r="A3" s="212"/>
      <c r="B3" s="640" t="s">
        <v>215</v>
      </c>
      <c r="C3" s="642"/>
      <c r="D3" s="642"/>
      <c r="E3" s="642"/>
      <c r="F3" s="642"/>
    </row>
    <row r="4" spans="1:6" ht="38.25">
      <c r="A4" s="215" t="s">
        <v>803</v>
      </c>
      <c r="B4" s="215"/>
      <c r="C4" s="215"/>
      <c r="D4" s="215"/>
      <c r="E4" s="215"/>
      <c r="F4" s="217"/>
    </row>
    <row r="5" spans="1:6" ht="12.75">
      <c r="A5" s="218"/>
      <c r="B5" s="218"/>
      <c r="C5" s="218"/>
      <c r="D5" s="218"/>
      <c r="E5" s="218"/>
      <c r="F5" s="221" t="s">
        <v>100</v>
      </c>
    </row>
    <row r="6" spans="1:6" ht="12.75">
      <c r="A6" s="306" t="s">
        <v>96</v>
      </c>
      <c r="B6" s="306" t="s">
        <v>541</v>
      </c>
      <c r="C6" s="306" t="s">
        <v>542</v>
      </c>
      <c r="D6" s="306" t="s">
        <v>543</v>
      </c>
      <c r="E6" s="306" t="s">
        <v>544</v>
      </c>
      <c r="F6" s="307" t="s">
        <v>615</v>
      </c>
    </row>
    <row r="7" spans="1:8" ht="12.75">
      <c r="A7" s="308" t="s">
        <v>598</v>
      </c>
      <c r="B7" s="308" t="s">
        <v>97</v>
      </c>
      <c r="C7" s="308" t="s">
        <v>599</v>
      </c>
      <c r="D7" s="308" t="s">
        <v>545</v>
      </c>
      <c r="E7" s="308" t="s">
        <v>546</v>
      </c>
      <c r="F7" s="309" t="s">
        <v>547</v>
      </c>
      <c r="G7" s="226"/>
      <c r="H7" s="310"/>
    </row>
    <row r="8" spans="1:6" ht="12.75">
      <c r="A8" s="311" t="s">
        <v>101</v>
      </c>
      <c r="B8" s="312" t="s">
        <v>99</v>
      </c>
      <c r="C8" s="312" t="s">
        <v>99</v>
      </c>
      <c r="D8" s="312" t="s">
        <v>99</v>
      </c>
      <c r="E8" s="312" t="s">
        <v>99</v>
      </c>
      <c r="F8" s="313">
        <f>F9+F106+F112+F125+F160+F189+F195+F273+F298+F304+F371+F378</f>
        <v>367369518.37</v>
      </c>
    </row>
    <row r="9" spans="1:6" ht="12.75">
      <c r="A9" s="237" t="s">
        <v>28</v>
      </c>
      <c r="B9" s="238" t="s">
        <v>548</v>
      </c>
      <c r="C9" s="314" t="s">
        <v>912</v>
      </c>
      <c r="D9" s="238" t="s">
        <v>99</v>
      </c>
      <c r="E9" s="238" t="s">
        <v>99</v>
      </c>
      <c r="F9" s="240">
        <f>F10+F15+F25+F30+F45+F50</f>
        <v>40597950</v>
      </c>
    </row>
    <row r="10" spans="1:6" ht="25.5">
      <c r="A10" s="241" t="s">
        <v>549</v>
      </c>
      <c r="B10" s="242" t="s">
        <v>548</v>
      </c>
      <c r="C10" s="242" t="s">
        <v>550</v>
      </c>
      <c r="D10" s="242" t="s">
        <v>99</v>
      </c>
      <c r="E10" s="242" t="s">
        <v>99</v>
      </c>
      <c r="F10" s="243">
        <f>F11</f>
        <v>1217683</v>
      </c>
    </row>
    <row r="11" spans="1:6" ht="25.5">
      <c r="A11" s="244" t="s">
        <v>17</v>
      </c>
      <c r="B11" s="245" t="s">
        <v>548</v>
      </c>
      <c r="C11" s="245" t="s">
        <v>550</v>
      </c>
      <c r="D11" s="245" t="s">
        <v>433</v>
      </c>
      <c r="E11" s="245" t="s">
        <v>99</v>
      </c>
      <c r="F11" s="243">
        <f>F12</f>
        <v>1217683</v>
      </c>
    </row>
    <row r="12" spans="1:6" ht="12.75">
      <c r="A12" s="244" t="s">
        <v>228</v>
      </c>
      <c r="B12" s="245" t="s">
        <v>548</v>
      </c>
      <c r="C12" s="245" t="s">
        <v>550</v>
      </c>
      <c r="D12" s="245" t="s">
        <v>434</v>
      </c>
      <c r="E12" s="246" t="s">
        <v>99</v>
      </c>
      <c r="F12" s="243">
        <f>F13</f>
        <v>1217683</v>
      </c>
    </row>
    <row r="13" spans="1:6" ht="25.5">
      <c r="A13" s="246" t="s">
        <v>514</v>
      </c>
      <c r="B13" s="245" t="s">
        <v>548</v>
      </c>
      <c r="C13" s="245" t="s">
        <v>550</v>
      </c>
      <c r="D13" s="245" t="s">
        <v>435</v>
      </c>
      <c r="E13" s="245" t="s">
        <v>99</v>
      </c>
      <c r="F13" s="243">
        <f>F14</f>
        <v>1217683</v>
      </c>
    </row>
    <row r="14" spans="1:6" ht="51">
      <c r="A14" s="244" t="s">
        <v>104</v>
      </c>
      <c r="B14" s="245" t="s">
        <v>548</v>
      </c>
      <c r="C14" s="245" t="s">
        <v>550</v>
      </c>
      <c r="D14" s="245" t="s">
        <v>435</v>
      </c>
      <c r="E14" s="245" t="s">
        <v>27</v>
      </c>
      <c r="F14" s="247">
        <f>1239858-22175</f>
        <v>1217683</v>
      </c>
    </row>
    <row r="15" spans="1:6" ht="51">
      <c r="A15" s="241" t="s">
        <v>502</v>
      </c>
      <c r="B15" s="242" t="s">
        <v>548</v>
      </c>
      <c r="C15" s="242" t="s">
        <v>551</v>
      </c>
      <c r="D15" s="242" t="s">
        <v>99</v>
      </c>
      <c r="E15" s="242" t="s">
        <v>99</v>
      </c>
      <c r="F15" s="243">
        <f>F16</f>
        <v>10953623</v>
      </c>
    </row>
    <row r="16" spans="1:6" ht="12.75">
      <c r="A16" s="244" t="s">
        <v>467</v>
      </c>
      <c r="B16" s="245" t="s">
        <v>548</v>
      </c>
      <c r="C16" s="245" t="s">
        <v>551</v>
      </c>
      <c r="D16" s="245" t="s">
        <v>436</v>
      </c>
      <c r="E16" s="245" t="s">
        <v>99</v>
      </c>
      <c r="F16" s="243">
        <f>F17</f>
        <v>10953623</v>
      </c>
    </row>
    <row r="17" spans="1:6" ht="12.75">
      <c r="A17" s="244" t="s">
        <v>473</v>
      </c>
      <c r="B17" s="245" t="s">
        <v>548</v>
      </c>
      <c r="C17" s="245" t="s">
        <v>551</v>
      </c>
      <c r="D17" s="245" t="s">
        <v>437</v>
      </c>
      <c r="E17" s="246" t="s">
        <v>99</v>
      </c>
      <c r="F17" s="243">
        <f>F18+F21</f>
        <v>10953623</v>
      </c>
    </row>
    <row r="18" spans="1:6" ht="38.25">
      <c r="A18" s="244" t="s">
        <v>610</v>
      </c>
      <c r="B18" s="272" t="s">
        <v>548</v>
      </c>
      <c r="C18" s="272" t="s">
        <v>551</v>
      </c>
      <c r="D18" s="245" t="s">
        <v>438</v>
      </c>
      <c r="E18" s="246"/>
      <c r="F18" s="243">
        <f>SUM(F19:F20)</f>
        <v>296000</v>
      </c>
    </row>
    <row r="19" spans="1:6" ht="51">
      <c r="A19" s="244" t="s">
        <v>104</v>
      </c>
      <c r="B19" s="272" t="s">
        <v>548</v>
      </c>
      <c r="C19" s="272" t="s">
        <v>551</v>
      </c>
      <c r="D19" s="245" t="s">
        <v>438</v>
      </c>
      <c r="E19" s="246">
        <v>100</v>
      </c>
      <c r="F19" s="247">
        <f>273792+3800+7408</f>
        <v>285000</v>
      </c>
    </row>
    <row r="20" spans="1:6" ht="25.5">
      <c r="A20" s="244" t="s">
        <v>482</v>
      </c>
      <c r="B20" s="272" t="s">
        <v>548</v>
      </c>
      <c r="C20" s="272" t="s">
        <v>551</v>
      </c>
      <c r="D20" s="245" t="s">
        <v>438</v>
      </c>
      <c r="E20" s="246">
        <v>200</v>
      </c>
      <c r="F20" s="247">
        <f>18408-7408</f>
        <v>11000</v>
      </c>
    </row>
    <row r="21" spans="1:6" ht="25.5">
      <c r="A21" s="246" t="s">
        <v>514</v>
      </c>
      <c r="B21" s="245" t="s">
        <v>548</v>
      </c>
      <c r="C21" s="245" t="s">
        <v>551</v>
      </c>
      <c r="D21" s="245" t="s">
        <v>439</v>
      </c>
      <c r="E21" s="245" t="s">
        <v>99</v>
      </c>
      <c r="F21" s="243">
        <f>SUM(F22:F24)</f>
        <v>10657623</v>
      </c>
    </row>
    <row r="22" spans="1:6" ht="51">
      <c r="A22" s="244" t="s">
        <v>104</v>
      </c>
      <c r="B22" s="245" t="s">
        <v>548</v>
      </c>
      <c r="C22" s="245" t="s">
        <v>551</v>
      </c>
      <c r="D22" s="245" t="s">
        <v>439</v>
      </c>
      <c r="E22" s="245">
        <v>100</v>
      </c>
      <c r="F22" s="247">
        <f>7735168+1390261+156588+423328+31331</f>
        <v>9736676</v>
      </c>
    </row>
    <row r="23" spans="1:6" ht="25.5">
      <c r="A23" s="244" t="s">
        <v>482</v>
      </c>
      <c r="B23" s="245" t="s">
        <v>548</v>
      </c>
      <c r="C23" s="245" t="s">
        <v>551</v>
      </c>
      <c r="D23" s="245" t="s">
        <v>439</v>
      </c>
      <c r="E23" s="245">
        <v>200</v>
      </c>
      <c r="F23" s="247">
        <f>602385+113195+54052+17000</f>
        <v>786632</v>
      </c>
    </row>
    <row r="24" spans="1:6" ht="12.75">
      <c r="A24" s="244" t="s">
        <v>89</v>
      </c>
      <c r="B24" s="245" t="s">
        <v>548</v>
      </c>
      <c r="C24" s="245" t="s">
        <v>551</v>
      </c>
      <c r="D24" s="245" t="s">
        <v>439</v>
      </c>
      <c r="E24" s="245">
        <v>800</v>
      </c>
      <c r="F24" s="247">
        <f>142315-8000</f>
        <v>134315</v>
      </c>
    </row>
    <row r="25" spans="1:6" ht="12.75">
      <c r="A25" s="608" t="s">
        <v>458</v>
      </c>
      <c r="B25" s="609" t="s">
        <v>548</v>
      </c>
      <c r="C25" s="610" t="s">
        <v>767</v>
      </c>
      <c r="D25" s="609"/>
      <c r="E25" s="609"/>
      <c r="F25" s="247">
        <v>9720</v>
      </c>
    </row>
    <row r="26" spans="1:6" ht="25.5">
      <c r="A26" s="611" t="s">
        <v>391</v>
      </c>
      <c r="B26" s="609" t="s">
        <v>548</v>
      </c>
      <c r="C26" s="610" t="s">
        <v>767</v>
      </c>
      <c r="D26" s="612" t="s">
        <v>820</v>
      </c>
      <c r="E26" s="609"/>
      <c r="F26" s="247">
        <v>9720</v>
      </c>
    </row>
    <row r="27" spans="1:6" ht="25.5">
      <c r="A27" s="613" t="s">
        <v>392</v>
      </c>
      <c r="B27" s="609" t="s">
        <v>548</v>
      </c>
      <c r="C27" s="610" t="s">
        <v>767</v>
      </c>
      <c r="D27" s="612" t="s">
        <v>822</v>
      </c>
      <c r="E27" s="609"/>
      <c r="F27" s="247">
        <v>9720</v>
      </c>
    </row>
    <row r="28" spans="1:6" ht="38.25">
      <c r="A28" s="613" t="s">
        <v>459</v>
      </c>
      <c r="B28" s="609" t="s">
        <v>548</v>
      </c>
      <c r="C28" s="610" t="s">
        <v>767</v>
      </c>
      <c r="D28" s="612" t="s">
        <v>460</v>
      </c>
      <c r="E28" s="609"/>
      <c r="F28" s="247">
        <v>9720</v>
      </c>
    </row>
    <row r="29" spans="1:6" ht="25.5">
      <c r="A29" s="608" t="s">
        <v>482</v>
      </c>
      <c r="B29" s="609" t="s">
        <v>548</v>
      </c>
      <c r="C29" s="610" t="s">
        <v>767</v>
      </c>
      <c r="D29" s="612" t="s">
        <v>460</v>
      </c>
      <c r="E29" s="609">
        <v>200</v>
      </c>
      <c r="F29" s="247">
        <v>9720</v>
      </c>
    </row>
    <row r="30" spans="1:6" ht="38.25">
      <c r="A30" s="241" t="s">
        <v>29</v>
      </c>
      <c r="B30" s="242" t="s">
        <v>548</v>
      </c>
      <c r="C30" s="242" t="s">
        <v>552</v>
      </c>
      <c r="D30" s="242" t="s">
        <v>99</v>
      </c>
      <c r="E30" s="242" t="s">
        <v>99</v>
      </c>
      <c r="F30" s="243">
        <f>F31+F37</f>
        <v>4904422</v>
      </c>
    </row>
    <row r="31" spans="1:6" ht="25.5">
      <c r="A31" s="252" t="s">
        <v>711</v>
      </c>
      <c r="B31" s="245" t="s">
        <v>548</v>
      </c>
      <c r="C31" s="245" t="s">
        <v>552</v>
      </c>
      <c r="D31" s="245" t="s">
        <v>440</v>
      </c>
      <c r="E31" s="245" t="s">
        <v>99</v>
      </c>
      <c r="F31" s="243">
        <f>F32</f>
        <v>3976733</v>
      </c>
    </row>
    <row r="32" spans="1:6" ht="51">
      <c r="A32" s="253" t="s">
        <v>713</v>
      </c>
      <c r="B32" s="245" t="s">
        <v>548</v>
      </c>
      <c r="C32" s="245" t="s">
        <v>552</v>
      </c>
      <c r="D32" s="245" t="s">
        <v>441</v>
      </c>
      <c r="E32" s="246" t="s">
        <v>99</v>
      </c>
      <c r="F32" s="243">
        <f>F33</f>
        <v>3976733</v>
      </c>
    </row>
    <row r="33" spans="1:6" ht="38.25">
      <c r="A33" s="22" t="s">
        <v>753</v>
      </c>
      <c r="B33" s="245" t="s">
        <v>548</v>
      </c>
      <c r="C33" s="245" t="s">
        <v>552</v>
      </c>
      <c r="D33" s="245" t="s">
        <v>644</v>
      </c>
      <c r="E33" s="246"/>
      <c r="F33" s="243">
        <f>F34</f>
        <v>3976733</v>
      </c>
    </row>
    <row r="34" spans="1:6" ht="25.5">
      <c r="A34" s="246" t="s">
        <v>514</v>
      </c>
      <c r="B34" s="245" t="s">
        <v>548</v>
      </c>
      <c r="C34" s="245" t="s">
        <v>552</v>
      </c>
      <c r="D34" s="245" t="s">
        <v>442</v>
      </c>
      <c r="E34" s="245" t="s">
        <v>99</v>
      </c>
      <c r="F34" s="243">
        <f>SUM(F35:F36)</f>
        <v>3976733</v>
      </c>
    </row>
    <row r="35" spans="1:6" ht="51">
      <c r="A35" s="244" t="s">
        <v>104</v>
      </c>
      <c r="B35" s="245" t="s">
        <v>548</v>
      </c>
      <c r="C35" s="245" t="s">
        <v>552</v>
      </c>
      <c r="D35" s="245" t="s">
        <v>442</v>
      </c>
      <c r="E35" s="245">
        <v>100</v>
      </c>
      <c r="F35" s="247">
        <f>3047569+547747+61672+96709+11606</f>
        <v>3765303</v>
      </c>
    </row>
    <row r="36" spans="1:6" ht="25.5">
      <c r="A36" s="244" t="s">
        <v>482</v>
      </c>
      <c r="B36" s="245" t="s">
        <v>548</v>
      </c>
      <c r="C36" s="245" t="s">
        <v>552</v>
      </c>
      <c r="D36" s="245" t="s">
        <v>442</v>
      </c>
      <c r="E36" s="245" t="s">
        <v>600</v>
      </c>
      <c r="F36" s="247">
        <f>86135+99970+12325+13000</f>
        <v>211430</v>
      </c>
    </row>
    <row r="37" spans="1:6" ht="25.5">
      <c r="A37" s="252" t="s">
        <v>192</v>
      </c>
      <c r="B37" s="245" t="s">
        <v>548</v>
      </c>
      <c r="C37" s="245" t="s">
        <v>552</v>
      </c>
      <c r="D37" s="250" t="s">
        <v>443</v>
      </c>
      <c r="E37" s="246" t="s">
        <v>99</v>
      </c>
      <c r="F37" s="243">
        <f>F38+F41</f>
        <v>927689</v>
      </c>
    </row>
    <row r="38" spans="1:6" ht="25.5">
      <c r="A38" s="253" t="s">
        <v>193</v>
      </c>
      <c r="B38" s="245" t="s">
        <v>548</v>
      </c>
      <c r="C38" s="245" t="s">
        <v>552</v>
      </c>
      <c r="D38" s="254" t="s">
        <v>444</v>
      </c>
      <c r="E38" s="245" t="s">
        <v>99</v>
      </c>
      <c r="F38" s="243">
        <f>F39</f>
        <v>591433.54</v>
      </c>
    </row>
    <row r="39" spans="1:6" ht="25.5">
      <c r="A39" s="246" t="s">
        <v>514</v>
      </c>
      <c r="B39" s="245" t="s">
        <v>548</v>
      </c>
      <c r="C39" s="245" t="s">
        <v>552</v>
      </c>
      <c r="D39" s="250" t="s">
        <v>445</v>
      </c>
      <c r="E39" s="245"/>
      <c r="F39" s="243">
        <f>SUM(F40:F40)</f>
        <v>591433.54</v>
      </c>
    </row>
    <row r="40" spans="1:6" ht="51">
      <c r="A40" s="244" t="s">
        <v>104</v>
      </c>
      <c r="B40" s="245" t="s">
        <v>548</v>
      </c>
      <c r="C40" s="245" t="s">
        <v>552</v>
      </c>
      <c r="D40" s="250" t="s">
        <v>445</v>
      </c>
      <c r="E40" s="245">
        <v>100</v>
      </c>
      <c r="F40" s="243">
        <f>468873+84271+9492+27147.54+1650</f>
        <v>591433.54</v>
      </c>
    </row>
    <row r="41" spans="1:6" ht="25.5">
      <c r="A41" s="244" t="s">
        <v>847</v>
      </c>
      <c r="B41" s="245" t="s">
        <v>548</v>
      </c>
      <c r="C41" s="245" t="s">
        <v>552</v>
      </c>
      <c r="D41" s="254" t="s">
        <v>846</v>
      </c>
      <c r="E41" s="245"/>
      <c r="F41" s="243">
        <f>F42</f>
        <v>336255.46</v>
      </c>
    </row>
    <row r="42" spans="1:6" ht="25.5">
      <c r="A42" s="246" t="s">
        <v>514</v>
      </c>
      <c r="B42" s="245" t="s">
        <v>548</v>
      </c>
      <c r="C42" s="245" t="s">
        <v>552</v>
      </c>
      <c r="D42" s="250" t="s">
        <v>845</v>
      </c>
      <c r="E42" s="245"/>
      <c r="F42" s="243">
        <f>SUM(F43:F44)</f>
        <v>336255.46</v>
      </c>
    </row>
    <row r="43" spans="1:6" ht="51">
      <c r="A43" s="244" t="s">
        <v>104</v>
      </c>
      <c r="B43" s="245" t="s">
        <v>548</v>
      </c>
      <c r="C43" s="245" t="s">
        <v>552</v>
      </c>
      <c r="D43" s="250" t="s">
        <v>845</v>
      </c>
      <c r="E43" s="245">
        <v>100</v>
      </c>
      <c r="F43" s="247">
        <f>258109+46391+5225+14530.46+1000</f>
        <v>325255.46</v>
      </c>
    </row>
    <row r="44" spans="1:6" ht="25.5">
      <c r="A44" s="244" t="s">
        <v>482</v>
      </c>
      <c r="B44" s="245" t="s">
        <v>548</v>
      </c>
      <c r="C44" s="245" t="s">
        <v>552</v>
      </c>
      <c r="D44" s="250" t="s">
        <v>845</v>
      </c>
      <c r="E44" s="245">
        <v>200</v>
      </c>
      <c r="F44" s="247">
        <v>11000</v>
      </c>
    </row>
    <row r="45" spans="1:6" ht="12.75">
      <c r="A45" s="241" t="s">
        <v>553</v>
      </c>
      <c r="B45" s="242" t="s">
        <v>548</v>
      </c>
      <c r="C45" s="242" t="s">
        <v>554</v>
      </c>
      <c r="D45" s="242" t="s">
        <v>99</v>
      </c>
      <c r="E45" s="242" t="s">
        <v>99</v>
      </c>
      <c r="F45" s="243">
        <f>F46</f>
        <v>79630</v>
      </c>
    </row>
    <row r="46" spans="1:6" ht="12.75">
      <c r="A46" s="244" t="s">
        <v>714</v>
      </c>
      <c r="B46" s="245" t="s">
        <v>548</v>
      </c>
      <c r="C46" s="245" t="s">
        <v>554</v>
      </c>
      <c r="D46" s="245" t="s">
        <v>446</v>
      </c>
      <c r="E46" s="245" t="s">
        <v>99</v>
      </c>
      <c r="F46" s="243">
        <f>F47</f>
        <v>79630</v>
      </c>
    </row>
    <row r="47" spans="1:6" ht="12.75">
      <c r="A47" s="244" t="s">
        <v>553</v>
      </c>
      <c r="B47" s="245" t="s">
        <v>548</v>
      </c>
      <c r="C47" s="245" t="s">
        <v>554</v>
      </c>
      <c r="D47" s="245" t="s">
        <v>447</v>
      </c>
      <c r="E47" s="246" t="s">
        <v>99</v>
      </c>
      <c r="F47" s="243">
        <f>F48</f>
        <v>79630</v>
      </c>
    </row>
    <row r="48" spans="1:6" ht="12.75">
      <c r="A48" s="246" t="s">
        <v>517</v>
      </c>
      <c r="B48" s="245" t="s">
        <v>548</v>
      </c>
      <c r="C48" s="245" t="s">
        <v>554</v>
      </c>
      <c r="D48" s="245" t="s">
        <v>807</v>
      </c>
      <c r="E48" s="248" t="s">
        <v>99</v>
      </c>
      <c r="F48" s="243">
        <f>F49</f>
        <v>79630</v>
      </c>
    </row>
    <row r="49" spans="1:6" ht="12.75">
      <c r="A49" s="244" t="s">
        <v>89</v>
      </c>
      <c r="B49" s="245" t="s">
        <v>548</v>
      </c>
      <c r="C49" s="245" t="s">
        <v>554</v>
      </c>
      <c r="D49" s="245" t="s">
        <v>807</v>
      </c>
      <c r="E49" s="245" t="s">
        <v>90</v>
      </c>
      <c r="F49" s="247">
        <v>79630</v>
      </c>
    </row>
    <row r="50" spans="1:6" ht="12.75">
      <c r="A50" s="241" t="s">
        <v>470</v>
      </c>
      <c r="B50" s="242" t="s">
        <v>548</v>
      </c>
      <c r="C50" s="242" t="s">
        <v>218</v>
      </c>
      <c r="D50" s="242" t="s">
        <v>99</v>
      </c>
      <c r="E50" s="242" t="s">
        <v>99</v>
      </c>
      <c r="F50" s="243">
        <f>F51+F61+F68+F79+F84+F88+F105</f>
        <v>23432872</v>
      </c>
    </row>
    <row r="51" spans="1:6" ht="25.5">
      <c r="A51" s="252" t="s">
        <v>71</v>
      </c>
      <c r="B51" s="245" t="s">
        <v>548</v>
      </c>
      <c r="C51" s="245" t="s">
        <v>218</v>
      </c>
      <c r="D51" s="245" t="s">
        <v>808</v>
      </c>
      <c r="E51" s="245" t="s">
        <v>99</v>
      </c>
      <c r="F51" s="243">
        <f>F52+F56</f>
        <v>1012300</v>
      </c>
    </row>
    <row r="52" spans="1:6" ht="51">
      <c r="A52" s="253" t="s">
        <v>389</v>
      </c>
      <c r="B52" s="245" t="s">
        <v>548</v>
      </c>
      <c r="C52" s="245" t="s">
        <v>218</v>
      </c>
      <c r="D52" s="254" t="s">
        <v>812</v>
      </c>
      <c r="E52" s="246" t="s">
        <v>99</v>
      </c>
      <c r="F52" s="243">
        <f>F53</f>
        <v>124300</v>
      </c>
    </row>
    <row r="53" spans="1:8" ht="38.25">
      <c r="A53" s="27" t="s">
        <v>898</v>
      </c>
      <c r="B53" s="245" t="s">
        <v>548</v>
      </c>
      <c r="C53" s="245" t="s">
        <v>218</v>
      </c>
      <c r="D53" s="254" t="s">
        <v>142</v>
      </c>
      <c r="E53" s="246"/>
      <c r="F53" s="243">
        <f>F54</f>
        <v>124300</v>
      </c>
      <c r="H53" s="231" t="s">
        <v>802</v>
      </c>
    </row>
    <row r="54" spans="1:6" ht="38.25">
      <c r="A54" s="246" t="s">
        <v>390</v>
      </c>
      <c r="B54" s="245" t="s">
        <v>548</v>
      </c>
      <c r="C54" s="245" t="s">
        <v>218</v>
      </c>
      <c r="D54" s="250" t="s">
        <v>899</v>
      </c>
      <c r="E54" s="245" t="s">
        <v>99</v>
      </c>
      <c r="F54" s="243">
        <f>F55</f>
        <v>124300</v>
      </c>
    </row>
    <row r="55" spans="1:6" ht="25.5">
      <c r="A55" s="244" t="s">
        <v>102</v>
      </c>
      <c r="B55" s="245" t="s">
        <v>548</v>
      </c>
      <c r="C55" s="245" t="s">
        <v>218</v>
      </c>
      <c r="D55" s="250" t="s">
        <v>899</v>
      </c>
      <c r="E55" s="245" t="s">
        <v>91</v>
      </c>
      <c r="F55" s="247">
        <f>122900+1400</f>
        <v>124300</v>
      </c>
    </row>
    <row r="56" spans="1:6" ht="51">
      <c r="A56" s="253" t="s">
        <v>712</v>
      </c>
      <c r="B56" s="245" t="s">
        <v>548</v>
      </c>
      <c r="C56" s="245" t="s">
        <v>218</v>
      </c>
      <c r="D56" s="245" t="s">
        <v>813</v>
      </c>
      <c r="E56" s="246" t="s">
        <v>99</v>
      </c>
      <c r="F56" s="243">
        <f>F57</f>
        <v>888000</v>
      </c>
    </row>
    <row r="57" spans="1:6" ht="38.25">
      <c r="A57" s="244" t="s">
        <v>23</v>
      </c>
      <c r="B57" s="245" t="s">
        <v>548</v>
      </c>
      <c r="C57" s="245" t="s">
        <v>218</v>
      </c>
      <c r="D57" s="245" t="s">
        <v>754</v>
      </c>
      <c r="E57" s="246"/>
      <c r="F57" s="243">
        <f>F58</f>
        <v>888000</v>
      </c>
    </row>
    <row r="58" spans="1:6" ht="38.25">
      <c r="A58" s="246" t="s">
        <v>611</v>
      </c>
      <c r="B58" s="245" t="s">
        <v>548</v>
      </c>
      <c r="C58" s="245" t="s">
        <v>218</v>
      </c>
      <c r="D58" s="250" t="s">
        <v>900</v>
      </c>
      <c r="E58" s="245"/>
      <c r="F58" s="243">
        <f>SUM(F59:F60)</f>
        <v>888000</v>
      </c>
    </row>
    <row r="59" spans="1:6" ht="51">
      <c r="A59" s="244" t="s">
        <v>104</v>
      </c>
      <c r="B59" s="245" t="s">
        <v>548</v>
      </c>
      <c r="C59" s="245" t="s">
        <v>218</v>
      </c>
      <c r="D59" s="250" t="s">
        <v>900</v>
      </c>
      <c r="E59" s="245">
        <v>100</v>
      </c>
      <c r="F59" s="247">
        <f>831238-39403.84</f>
        <v>791834.16</v>
      </c>
    </row>
    <row r="60" spans="1:6" ht="25.5">
      <c r="A60" s="244" t="s">
        <v>482</v>
      </c>
      <c r="B60" s="245" t="s">
        <v>548</v>
      </c>
      <c r="C60" s="245" t="s">
        <v>218</v>
      </c>
      <c r="D60" s="250" t="s">
        <v>900</v>
      </c>
      <c r="E60" s="245" t="s">
        <v>600</v>
      </c>
      <c r="F60" s="247">
        <f>45362+11400+39403.84</f>
        <v>96165.84</v>
      </c>
    </row>
    <row r="61" spans="1:6" ht="51">
      <c r="A61" s="249" t="s">
        <v>476</v>
      </c>
      <c r="B61" s="245" t="s">
        <v>548</v>
      </c>
      <c r="C61" s="245" t="s">
        <v>218</v>
      </c>
      <c r="D61" s="250" t="s">
        <v>814</v>
      </c>
      <c r="E61" s="245" t="s">
        <v>99</v>
      </c>
      <c r="F61" s="243">
        <f>F62</f>
        <v>2242430</v>
      </c>
    </row>
    <row r="62" spans="1:6" ht="25.5">
      <c r="A62" s="251" t="s">
        <v>477</v>
      </c>
      <c r="B62" s="245" t="s">
        <v>548</v>
      </c>
      <c r="C62" s="245" t="s">
        <v>218</v>
      </c>
      <c r="D62" s="250" t="s">
        <v>815</v>
      </c>
      <c r="E62" s="248" t="s">
        <v>99</v>
      </c>
      <c r="F62" s="243">
        <f>F63</f>
        <v>2242430</v>
      </c>
    </row>
    <row r="63" spans="1:6" ht="38.25">
      <c r="A63" s="23" t="s">
        <v>844</v>
      </c>
      <c r="B63" s="245" t="s">
        <v>548</v>
      </c>
      <c r="C63" s="245" t="s">
        <v>218</v>
      </c>
      <c r="D63" s="250" t="s">
        <v>816</v>
      </c>
      <c r="E63" s="248"/>
      <c r="F63" s="243">
        <f>F64</f>
        <v>2242430</v>
      </c>
    </row>
    <row r="64" spans="1:6" ht="12.75">
      <c r="A64" s="246" t="s">
        <v>612</v>
      </c>
      <c r="B64" s="245" t="s">
        <v>548</v>
      </c>
      <c r="C64" s="245" t="s">
        <v>218</v>
      </c>
      <c r="D64" s="250" t="s">
        <v>817</v>
      </c>
      <c r="E64" s="248" t="s">
        <v>99</v>
      </c>
      <c r="F64" s="243">
        <f>SUM(F65:F67)</f>
        <v>2242430</v>
      </c>
    </row>
    <row r="65" spans="1:6" ht="25.5">
      <c r="A65" s="244" t="s">
        <v>482</v>
      </c>
      <c r="B65" s="245" t="s">
        <v>548</v>
      </c>
      <c r="C65" s="245" t="s">
        <v>218</v>
      </c>
      <c r="D65" s="250" t="s">
        <v>817</v>
      </c>
      <c r="E65" s="245" t="s">
        <v>600</v>
      </c>
      <c r="F65" s="247">
        <f>824683+25000+30000+935000+10400</f>
        <v>1825083</v>
      </c>
    </row>
    <row r="66" spans="1:6" ht="25.5">
      <c r="A66" s="201" t="s">
        <v>353</v>
      </c>
      <c r="B66" s="245" t="s">
        <v>548</v>
      </c>
      <c r="C66" s="245" t="s">
        <v>218</v>
      </c>
      <c r="D66" s="250" t="s">
        <v>817</v>
      </c>
      <c r="E66" s="245">
        <v>400</v>
      </c>
      <c r="F66" s="247">
        <v>311000</v>
      </c>
    </row>
    <row r="67" spans="1:6" ht="12.75">
      <c r="A67" s="244" t="s">
        <v>89</v>
      </c>
      <c r="B67" s="245" t="s">
        <v>548</v>
      </c>
      <c r="C67" s="245" t="s">
        <v>218</v>
      </c>
      <c r="D67" s="250" t="s">
        <v>817</v>
      </c>
      <c r="E67" s="245">
        <v>800</v>
      </c>
      <c r="F67" s="247">
        <f>32347+4000+70000</f>
        <v>106347</v>
      </c>
    </row>
    <row r="68" spans="1:6" ht="54.75" customHeight="1">
      <c r="A68" s="252" t="s">
        <v>931</v>
      </c>
      <c r="B68" s="245" t="s">
        <v>548</v>
      </c>
      <c r="C68" s="245" t="s">
        <v>218</v>
      </c>
      <c r="D68" s="245" t="s">
        <v>818</v>
      </c>
      <c r="E68" s="245"/>
      <c r="F68" s="243">
        <f>F69</f>
        <v>466000</v>
      </c>
    </row>
    <row r="69" spans="1:6" ht="63.75">
      <c r="A69" s="253" t="s">
        <v>56</v>
      </c>
      <c r="B69" s="245" t="s">
        <v>548</v>
      </c>
      <c r="C69" s="245" t="s">
        <v>218</v>
      </c>
      <c r="D69" s="245" t="s">
        <v>819</v>
      </c>
      <c r="E69" s="245"/>
      <c r="F69" s="243">
        <f>F70+F76</f>
        <v>466000</v>
      </c>
    </row>
    <row r="70" spans="1:6" ht="25.5">
      <c r="A70" s="244" t="s">
        <v>196</v>
      </c>
      <c r="B70" s="245" t="s">
        <v>548</v>
      </c>
      <c r="C70" s="245" t="s">
        <v>218</v>
      </c>
      <c r="D70" s="245" t="s">
        <v>454</v>
      </c>
      <c r="E70" s="245"/>
      <c r="F70" s="243">
        <f>F71+F74</f>
        <v>446000</v>
      </c>
    </row>
    <row r="71" spans="1:6" ht="38.25">
      <c r="A71" s="244" t="s">
        <v>453</v>
      </c>
      <c r="B71" s="245" t="s">
        <v>548</v>
      </c>
      <c r="C71" s="245" t="s">
        <v>218</v>
      </c>
      <c r="D71" s="245" t="s">
        <v>901</v>
      </c>
      <c r="E71" s="245"/>
      <c r="F71" s="243">
        <f>SUM(F72:F73)</f>
        <v>296000</v>
      </c>
    </row>
    <row r="72" spans="1:6" ht="51">
      <c r="A72" s="244" t="s">
        <v>104</v>
      </c>
      <c r="B72" s="245" t="s">
        <v>548</v>
      </c>
      <c r="C72" s="245" t="s">
        <v>218</v>
      </c>
      <c r="D72" s="245" t="s">
        <v>901</v>
      </c>
      <c r="E72" s="245">
        <v>100</v>
      </c>
      <c r="F72" s="247">
        <f>286475.15+3800+4074.85</f>
        <v>294350</v>
      </c>
    </row>
    <row r="73" spans="1:6" ht="25.5">
      <c r="A73" s="244" t="s">
        <v>482</v>
      </c>
      <c r="B73" s="245" t="s">
        <v>548</v>
      </c>
      <c r="C73" s="245" t="s">
        <v>218</v>
      </c>
      <c r="D73" s="245" t="s">
        <v>901</v>
      </c>
      <c r="E73" s="245">
        <v>200</v>
      </c>
      <c r="F73" s="247">
        <f>5724.85-4074.85</f>
        <v>1650.0000000000005</v>
      </c>
    </row>
    <row r="74" spans="1:6" ht="24">
      <c r="A74" s="28" t="s">
        <v>586</v>
      </c>
      <c r="B74" s="245" t="s">
        <v>548</v>
      </c>
      <c r="C74" s="245" t="s">
        <v>218</v>
      </c>
      <c r="D74" s="245" t="s">
        <v>684</v>
      </c>
      <c r="E74" s="245"/>
      <c r="F74" s="247">
        <v>150000</v>
      </c>
    </row>
    <row r="75" spans="1:6" ht="25.5">
      <c r="A75" s="244" t="s">
        <v>482</v>
      </c>
      <c r="B75" s="245" t="s">
        <v>548</v>
      </c>
      <c r="C75" s="245" t="s">
        <v>218</v>
      </c>
      <c r="D75" s="245" t="s">
        <v>684</v>
      </c>
      <c r="E75" s="245">
        <v>200</v>
      </c>
      <c r="F75" s="247">
        <v>150000</v>
      </c>
    </row>
    <row r="76" spans="1:6" ht="25.5">
      <c r="A76" s="244" t="s">
        <v>197</v>
      </c>
      <c r="B76" s="245" t="s">
        <v>548</v>
      </c>
      <c r="C76" s="245" t="s">
        <v>218</v>
      </c>
      <c r="D76" s="245" t="s">
        <v>590</v>
      </c>
      <c r="E76" s="245"/>
      <c r="F76" s="243">
        <f>F77</f>
        <v>20000</v>
      </c>
    </row>
    <row r="77" spans="1:6" ht="24">
      <c r="A77" s="28" t="s">
        <v>586</v>
      </c>
      <c r="B77" s="245" t="s">
        <v>548</v>
      </c>
      <c r="C77" s="245" t="s">
        <v>218</v>
      </c>
      <c r="D77" s="245" t="s">
        <v>587</v>
      </c>
      <c r="E77" s="245"/>
      <c r="F77" s="243">
        <f>F78</f>
        <v>20000</v>
      </c>
    </row>
    <row r="78" spans="1:6" ht="25.5">
      <c r="A78" s="244" t="s">
        <v>482</v>
      </c>
      <c r="B78" s="245" t="s">
        <v>548</v>
      </c>
      <c r="C78" s="245" t="s">
        <v>218</v>
      </c>
      <c r="D78" s="245" t="s">
        <v>587</v>
      </c>
      <c r="E78" s="245">
        <v>200</v>
      </c>
      <c r="F78" s="247">
        <v>20000</v>
      </c>
    </row>
    <row r="79" spans="1:6" ht="51">
      <c r="A79" s="252" t="s">
        <v>492</v>
      </c>
      <c r="B79" s="245" t="s">
        <v>548</v>
      </c>
      <c r="C79" s="245" t="s">
        <v>218</v>
      </c>
      <c r="D79" s="245" t="s">
        <v>494</v>
      </c>
      <c r="E79" s="245"/>
      <c r="F79" s="243">
        <f>F80</f>
        <v>30000</v>
      </c>
    </row>
    <row r="80" spans="1:6" ht="55.5" customHeight="1">
      <c r="A80" s="253" t="s">
        <v>493</v>
      </c>
      <c r="B80" s="245" t="s">
        <v>548</v>
      </c>
      <c r="C80" s="245" t="s">
        <v>218</v>
      </c>
      <c r="D80" s="245" t="s">
        <v>495</v>
      </c>
      <c r="E80" s="245"/>
      <c r="F80" s="243">
        <f>F81</f>
        <v>30000</v>
      </c>
    </row>
    <row r="81" spans="1:6" ht="25.5">
      <c r="A81" s="244" t="s">
        <v>664</v>
      </c>
      <c r="B81" s="245" t="s">
        <v>548</v>
      </c>
      <c r="C81" s="245" t="s">
        <v>218</v>
      </c>
      <c r="D81" s="245" t="s">
        <v>665</v>
      </c>
      <c r="E81" s="245"/>
      <c r="F81" s="243">
        <f>F82</f>
        <v>30000</v>
      </c>
    </row>
    <row r="82" spans="1:6" ht="38.25">
      <c r="A82" s="244" t="s">
        <v>667</v>
      </c>
      <c r="B82" s="245" t="s">
        <v>548</v>
      </c>
      <c r="C82" s="245" t="s">
        <v>218</v>
      </c>
      <c r="D82" s="245" t="s">
        <v>666</v>
      </c>
      <c r="E82" s="245"/>
      <c r="F82" s="243">
        <f>F83</f>
        <v>30000</v>
      </c>
    </row>
    <row r="83" spans="1:6" ht="25.5">
      <c r="A83" s="244" t="s">
        <v>482</v>
      </c>
      <c r="B83" s="245" t="s">
        <v>548</v>
      </c>
      <c r="C83" s="245" t="s">
        <v>218</v>
      </c>
      <c r="D83" s="245" t="s">
        <v>666</v>
      </c>
      <c r="E83" s="245">
        <v>200</v>
      </c>
      <c r="F83" s="247">
        <v>30000</v>
      </c>
    </row>
    <row r="84" spans="1:6" ht="25.5">
      <c r="A84" s="244" t="s">
        <v>537</v>
      </c>
      <c r="B84" s="245" t="s">
        <v>548</v>
      </c>
      <c r="C84" s="245" t="s">
        <v>218</v>
      </c>
      <c r="D84" s="250" t="s">
        <v>536</v>
      </c>
      <c r="E84" s="245"/>
      <c r="F84" s="247">
        <f>F85</f>
        <v>61500</v>
      </c>
    </row>
    <row r="85" spans="1:6" ht="12.75">
      <c r="A85" s="253" t="s">
        <v>535</v>
      </c>
      <c r="B85" s="245" t="s">
        <v>548</v>
      </c>
      <c r="C85" s="245" t="s">
        <v>218</v>
      </c>
      <c r="D85" s="250" t="s">
        <v>534</v>
      </c>
      <c r="E85" s="245"/>
      <c r="F85" s="247">
        <f>F86</f>
        <v>61500</v>
      </c>
    </row>
    <row r="86" spans="1:6" ht="25.5">
      <c r="A86" s="246" t="s">
        <v>843</v>
      </c>
      <c r="B86" s="245" t="s">
        <v>548</v>
      </c>
      <c r="C86" s="245" t="s">
        <v>218</v>
      </c>
      <c r="D86" s="250" t="s">
        <v>497</v>
      </c>
      <c r="E86" s="245"/>
      <c r="F86" s="247">
        <f>F87</f>
        <v>61500</v>
      </c>
    </row>
    <row r="87" spans="1:6" ht="12.75">
      <c r="A87" s="244" t="s">
        <v>89</v>
      </c>
      <c r="B87" s="245" t="s">
        <v>548</v>
      </c>
      <c r="C87" s="245" t="s">
        <v>218</v>
      </c>
      <c r="D87" s="250" t="s">
        <v>497</v>
      </c>
      <c r="E87" s="245">
        <v>800</v>
      </c>
      <c r="F87" s="247">
        <f>45500+16000</f>
        <v>61500</v>
      </c>
    </row>
    <row r="88" spans="1:6" ht="25.5">
      <c r="A88" s="252" t="s">
        <v>391</v>
      </c>
      <c r="B88" s="245" t="s">
        <v>548</v>
      </c>
      <c r="C88" s="245" t="s">
        <v>218</v>
      </c>
      <c r="D88" s="250" t="s">
        <v>820</v>
      </c>
      <c r="E88" s="248" t="s">
        <v>99</v>
      </c>
      <c r="F88" s="243">
        <f>F89</f>
        <v>19560642</v>
      </c>
    </row>
    <row r="89" spans="1:6" ht="25.5">
      <c r="A89" s="253" t="s">
        <v>392</v>
      </c>
      <c r="B89" s="245" t="s">
        <v>548</v>
      </c>
      <c r="C89" s="245" t="s">
        <v>218</v>
      </c>
      <c r="D89" s="254" t="s">
        <v>822</v>
      </c>
      <c r="E89" s="255" t="s">
        <v>99</v>
      </c>
      <c r="F89" s="243">
        <f>F90+F94+F97+F99</f>
        <v>19560642</v>
      </c>
    </row>
    <row r="90" spans="1:6" ht="25.5">
      <c r="A90" s="246" t="s">
        <v>126</v>
      </c>
      <c r="B90" s="245" t="s">
        <v>548</v>
      </c>
      <c r="C90" s="245" t="s">
        <v>218</v>
      </c>
      <c r="D90" s="250" t="s">
        <v>823</v>
      </c>
      <c r="E90" s="248" t="s">
        <v>99</v>
      </c>
      <c r="F90" s="243">
        <f>SUM(F91:F93)</f>
        <v>17013755</v>
      </c>
    </row>
    <row r="91" spans="1:6" ht="51">
      <c r="A91" s="244" t="s">
        <v>104</v>
      </c>
      <c r="B91" s="245" t="s">
        <v>548</v>
      </c>
      <c r="C91" s="245" t="s">
        <v>218</v>
      </c>
      <c r="D91" s="250" t="s">
        <v>823</v>
      </c>
      <c r="E91" s="245" t="s">
        <v>27</v>
      </c>
      <c r="F91" s="247">
        <f>15003250+1082785+277965+11716+66000</f>
        <v>16441716</v>
      </c>
    </row>
    <row r="92" spans="1:6" ht="25.5">
      <c r="A92" s="244" t="s">
        <v>482</v>
      </c>
      <c r="B92" s="245" t="s">
        <v>548</v>
      </c>
      <c r="C92" s="245" t="s">
        <v>218</v>
      </c>
      <c r="D92" s="250" t="s">
        <v>823</v>
      </c>
      <c r="E92" s="245" t="s">
        <v>600</v>
      </c>
      <c r="F92" s="247">
        <f>537840+13360</f>
        <v>551200</v>
      </c>
    </row>
    <row r="93" spans="1:6" ht="12.75">
      <c r="A93" s="244" t="s">
        <v>89</v>
      </c>
      <c r="B93" s="245" t="s">
        <v>548</v>
      </c>
      <c r="C93" s="245" t="s">
        <v>218</v>
      </c>
      <c r="D93" s="250" t="s">
        <v>823</v>
      </c>
      <c r="E93" s="245" t="s">
        <v>90</v>
      </c>
      <c r="F93" s="247">
        <f>15339+5500</f>
        <v>20839</v>
      </c>
    </row>
    <row r="94" spans="1:6" ht="25.5">
      <c r="A94" s="246" t="s">
        <v>843</v>
      </c>
      <c r="B94" s="245" t="s">
        <v>548</v>
      </c>
      <c r="C94" s="245" t="s">
        <v>218</v>
      </c>
      <c r="D94" s="250" t="s">
        <v>540</v>
      </c>
      <c r="E94" s="245"/>
      <c r="F94" s="243">
        <f>F95+F96</f>
        <v>2098887</v>
      </c>
    </row>
    <row r="95" spans="1:6" ht="12.75">
      <c r="A95" s="256" t="s">
        <v>93</v>
      </c>
      <c r="B95" s="245" t="s">
        <v>548</v>
      </c>
      <c r="C95" s="245" t="s">
        <v>218</v>
      </c>
      <c r="D95" s="250" t="s">
        <v>540</v>
      </c>
      <c r="E95" s="245">
        <v>300</v>
      </c>
      <c r="F95" s="243">
        <v>5000</v>
      </c>
    </row>
    <row r="96" spans="1:6" ht="12.75">
      <c r="A96" s="244" t="s">
        <v>89</v>
      </c>
      <c r="B96" s="245" t="s">
        <v>548</v>
      </c>
      <c r="C96" s="245" t="s">
        <v>218</v>
      </c>
      <c r="D96" s="250" t="s">
        <v>540</v>
      </c>
      <c r="E96" s="245">
        <v>800</v>
      </c>
      <c r="F96" s="247">
        <f>6401299-4307412</f>
        <v>2093887</v>
      </c>
    </row>
    <row r="97" spans="1:6" ht="25.5">
      <c r="A97" s="246" t="s">
        <v>914</v>
      </c>
      <c r="B97" s="245" t="s">
        <v>548</v>
      </c>
      <c r="C97" s="245" t="s">
        <v>218</v>
      </c>
      <c r="D97" s="250" t="s">
        <v>824</v>
      </c>
      <c r="E97" s="248" t="s">
        <v>99</v>
      </c>
      <c r="F97" s="243">
        <f>F98</f>
        <v>300000</v>
      </c>
    </row>
    <row r="98" spans="1:6" ht="25.5">
      <c r="A98" s="244" t="s">
        <v>482</v>
      </c>
      <c r="B98" s="245" t="s">
        <v>548</v>
      </c>
      <c r="C98" s="245" t="s">
        <v>218</v>
      </c>
      <c r="D98" s="250" t="s">
        <v>824</v>
      </c>
      <c r="E98" s="250">
        <v>200</v>
      </c>
      <c r="F98" s="247">
        <v>300000</v>
      </c>
    </row>
    <row r="99" spans="1:6" ht="51">
      <c r="A99" s="32" t="s">
        <v>198</v>
      </c>
      <c r="B99" s="245" t="s">
        <v>548</v>
      </c>
      <c r="C99" s="245" t="s">
        <v>218</v>
      </c>
      <c r="D99" s="250" t="s">
        <v>464</v>
      </c>
      <c r="E99" s="250"/>
      <c r="F99" s="243">
        <f>SUM(F100:F101)</f>
        <v>148000</v>
      </c>
    </row>
    <row r="100" spans="1:6" ht="51">
      <c r="A100" s="244" t="s">
        <v>104</v>
      </c>
      <c r="B100" s="245" t="s">
        <v>548</v>
      </c>
      <c r="C100" s="245" t="s">
        <v>218</v>
      </c>
      <c r="D100" s="250" t="s">
        <v>464</v>
      </c>
      <c r="E100" s="250">
        <v>100</v>
      </c>
      <c r="F100" s="247">
        <f>125000+1900</f>
        <v>126900</v>
      </c>
    </row>
    <row r="101" spans="1:6" ht="25.5">
      <c r="A101" s="256" t="s">
        <v>482</v>
      </c>
      <c r="B101" s="257" t="s">
        <v>548</v>
      </c>
      <c r="C101" s="257" t="s">
        <v>218</v>
      </c>
      <c r="D101" s="258" t="s">
        <v>464</v>
      </c>
      <c r="E101" s="258">
        <v>200</v>
      </c>
      <c r="F101" s="261">
        <v>21100</v>
      </c>
    </row>
    <row r="102" spans="1:6" ht="12.75">
      <c r="A102" s="259" t="s">
        <v>714</v>
      </c>
      <c r="B102" s="245" t="s">
        <v>548</v>
      </c>
      <c r="C102" s="245">
        <v>13</v>
      </c>
      <c r="D102" s="245" t="s">
        <v>446</v>
      </c>
      <c r="E102" s="250"/>
      <c r="F102" s="278">
        <v>60000</v>
      </c>
    </row>
    <row r="103" spans="1:6" ht="12.75">
      <c r="A103" s="244" t="s">
        <v>553</v>
      </c>
      <c r="B103" s="245" t="s">
        <v>548</v>
      </c>
      <c r="C103" s="245">
        <v>13</v>
      </c>
      <c r="D103" s="245" t="s">
        <v>447</v>
      </c>
      <c r="E103" s="246" t="s">
        <v>99</v>
      </c>
      <c r="F103" s="278">
        <v>60000</v>
      </c>
    </row>
    <row r="104" spans="1:6" ht="12.75">
      <c r="A104" s="244" t="s">
        <v>289</v>
      </c>
      <c r="B104" s="245" t="s">
        <v>548</v>
      </c>
      <c r="C104" s="245">
        <v>13</v>
      </c>
      <c r="D104" s="245" t="s">
        <v>290</v>
      </c>
      <c r="E104" s="248" t="s">
        <v>99</v>
      </c>
      <c r="F104" s="278">
        <v>60000</v>
      </c>
    </row>
    <row r="105" spans="1:6" ht="12.75">
      <c r="A105" s="256" t="s">
        <v>93</v>
      </c>
      <c r="B105" s="257" t="s">
        <v>548</v>
      </c>
      <c r="C105" s="257">
        <v>13</v>
      </c>
      <c r="D105" s="257" t="s">
        <v>290</v>
      </c>
      <c r="E105" s="257">
        <v>300</v>
      </c>
      <c r="F105" s="278">
        <v>60000</v>
      </c>
    </row>
    <row r="106" spans="1:6" ht="12.75">
      <c r="A106" s="237" t="s">
        <v>539</v>
      </c>
      <c r="B106" s="238" t="s">
        <v>550</v>
      </c>
      <c r="C106" s="239" t="s">
        <v>912</v>
      </c>
      <c r="D106" s="238" t="s">
        <v>99</v>
      </c>
      <c r="E106" s="238" t="s">
        <v>99</v>
      </c>
      <c r="F106" s="240">
        <f>F107</f>
        <v>72200</v>
      </c>
    </row>
    <row r="107" spans="1:6" ht="12.75">
      <c r="A107" s="241" t="s">
        <v>538</v>
      </c>
      <c r="B107" s="242" t="s">
        <v>550</v>
      </c>
      <c r="C107" s="242" t="s">
        <v>551</v>
      </c>
      <c r="D107" s="260" t="s">
        <v>99</v>
      </c>
      <c r="E107" s="260" t="s">
        <v>99</v>
      </c>
      <c r="F107" s="243">
        <f>F108</f>
        <v>72200</v>
      </c>
    </row>
    <row r="108" spans="1:6" ht="25.5">
      <c r="A108" s="244" t="s">
        <v>537</v>
      </c>
      <c r="B108" s="245" t="s">
        <v>550</v>
      </c>
      <c r="C108" s="245" t="s">
        <v>551</v>
      </c>
      <c r="D108" s="250" t="s">
        <v>536</v>
      </c>
      <c r="E108" s="248" t="s">
        <v>99</v>
      </c>
      <c r="F108" s="243">
        <f>F109</f>
        <v>72200</v>
      </c>
    </row>
    <row r="109" spans="1:6" ht="12.75">
      <c r="A109" s="244" t="s">
        <v>535</v>
      </c>
      <c r="B109" s="245" t="s">
        <v>550</v>
      </c>
      <c r="C109" s="245" t="s">
        <v>551</v>
      </c>
      <c r="D109" s="250" t="s">
        <v>534</v>
      </c>
      <c r="E109" s="248"/>
      <c r="F109" s="243">
        <f>F110</f>
        <v>72200</v>
      </c>
    </row>
    <row r="110" spans="1:6" ht="25.5">
      <c r="A110" s="25" t="s">
        <v>533</v>
      </c>
      <c r="B110" s="245" t="s">
        <v>550</v>
      </c>
      <c r="C110" s="245" t="s">
        <v>551</v>
      </c>
      <c r="D110" s="250" t="s">
        <v>532</v>
      </c>
      <c r="E110" s="255" t="s">
        <v>99</v>
      </c>
      <c r="F110" s="243">
        <f>F111</f>
        <v>72200</v>
      </c>
    </row>
    <row r="111" spans="1:6" ht="25.5">
      <c r="A111" s="256" t="s">
        <v>103</v>
      </c>
      <c r="B111" s="257" t="s">
        <v>550</v>
      </c>
      <c r="C111" s="257" t="s">
        <v>551</v>
      </c>
      <c r="D111" s="258" t="s">
        <v>532</v>
      </c>
      <c r="E111" s="257">
        <v>200</v>
      </c>
      <c r="F111" s="261">
        <v>72200</v>
      </c>
    </row>
    <row r="112" spans="1:6" ht="25.5">
      <c r="A112" s="237" t="s">
        <v>471</v>
      </c>
      <c r="B112" s="238" t="s">
        <v>219</v>
      </c>
      <c r="C112" s="239" t="s">
        <v>912</v>
      </c>
      <c r="D112" s="238" t="s">
        <v>99</v>
      </c>
      <c r="E112" s="238" t="s">
        <v>99</v>
      </c>
      <c r="F112" s="240">
        <f>F113</f>
        <v>2036880.5</v>
      </c>
    </row>
    <row r="113" spans="1:6" ht="38.25">
      <c r="A113" s="241" t="s">
        <v>505</v>
      </c>
      <c r="B113" s="242" t="s">
        <v>219</v>
      </c>
      <c r="C113" s="242" t="s">
        <v>220</v>
      </c>
      <c r="D113" s="242" t="s">
        <v>99</v>
      </c>
      <c r="E113" s="242" t="s">
        <v>99</v>
      </c>
      <c r="F113" s="243">
        <f>F114</f>
        <v>2036880.5</v>
      </c>
    </row>
    <row r="114" spans="1:6" ht="51">
      <c r="A114" s="252" t="s">
        <v>57</v>
      </c>
      <c r="B114" s="245" t="s">
        <v>219</v>
      </c>
      <c r="C114" s="245" t="s">
        <v>220</v>
      </c>
      <c r="D114" s="250" t="s">
        <v>825</v>
      </c>
      <c r="E114" s="245" t="s">
        <v>99</v>
      </c>
      <c r="F114" s="243">
        <f>F115+F121</f>
        <v>2036880.5</v>
      </c>
    </row>
    <row r="115" spans="1:6" ht="70.5" customHeight="1">
      <c r="A115" s="614" t="s">
        <v>199</v>
      </c>
      <c r="B115" s="245" t="s">
        <v>219</v>
      </c>
      <c r="C115" s="245" t="s">
        <v>220</v>
      </c>
      <c r="D115" s="250" t="s">
        <v>826</v>
      </c>
      <c r="E115" s="245"/>
      <c r="F115" s="243">
        <f>F116</f>
        <v>1996880.5</v>
      </c>
    </row>
    <row r="116" spans="1:6" ht="63.75">
      <c r="A116" s="22" t="s">
        <v>429</v>
      </c>
      <c r="B116" s="245" t="s">
        <v>219</v>
      </c>
      <c r="C116" s="245" t="s">
        <v>220</v>
      </c>
      <c r="D116" s="250" t="s">
        <v>831</v>
      </c>
      <c r="E116" s="245"/>
      <c r="F116" s="243">
        <f>F117</f>
        <v>1996880.5</v>
      </c>
    </row>
    <row r="117" spans="1:6" ht="25.5">
      <c r="A117" s="246" t="s">
        <v>126</v>
      </c>
      <c r="B117" s="245" t="s">
        <v>219</v>
      </c>
      <c r="C117" s="245" t="s">
        <v>220</v>
      </c>
      <c r="D117" s="250" t="s">
        <v>832</v>
      </c>
      <c r="E117" s="245" t="s">
        <v>99</v>
      </c>
      <c r="F117" s="243">
        <f>SUM(F118:F120)</f>
        <v>1996880.5</v>
      </c>
    </row>
    <row r="118" spans="1:6" ht="51">
      <c r="A118" s="244" t="s">
        <v>104</v>
      </c>
      <c r="B118" s="245" t="s">
        <v>219</v>
      </c>
      <c r="C118" s="245" t="s">
        <v>220</v>
      </c>
      <c r="D118" s="250" t="s">
        <v>832</v>
      </c>
      <c r="E118" s="245" t="s">
        <v>27</v>
      </c>
      <c r="F118" s="247">
        <f>1635933+118536+30131+3350-800+33500</f>
        <v>1820650</v>
      </c>
    </row>
    <row r="119" spans="1:6" ht="25.5">
      <c r="A119" s="244" t="s">
        <v>482</v>
      </c>
      <c r="B119" s="245" t="s">
        <v>219</v>
      </c>
      <c r="C119" s="245" t="s">
        <v>220</v>
      </c>
      <c r="D119" s="250" t="s">
        <v>832</v>
      </c>
      <c r="E119" s="245" t="s">
        <v>600</v>
      </c>
      <c r="F119" s="247">
        <f>144661.5+22754+7550</f>
        <v>174965.5</v>
      </c>
    </row>
    <row r="120" spans="1:6" ht="12.75">
      <c r="A120" s="256" t="s">
        <v>89</v>
      </c>
      <c r="B120" s="257" t="s">
        <v>219</v>
      </c>
      <c r="C120" s="257" t="s">
        <v>220</v>
      </c>
      <c r="D120" s="258" t="s">
        <v>832</v>
      </c>
      <c r="E120" s="372" t="s">
        <v>90</v>
      </c>
      <c r="F120" s="332">
        <v>1265</v>
      </c>
    </row>
    <row r="121" spans="1:6" ht="72.75" customHeight="1">
      <c r="A121" s="614" t="s">
        <v>200</v>
      </c>
      <c r="B121" s="245" t="s">
        <v>219</v>
      </c>
      <c r="C121" s="245" t="s">
        <v>220</v>
      </c>
      <c r="D121" s="250" t="s">
        <v>201</v>
      </c>
      <c r="E121" s="615"/>
      <c r="F121" s="395">
        <v>40000</v>
      </c>
    </row>
    <row r="122" spans="1:6" ht="42" customHeight="1">
      <c r="A122" s="22" t="s">
        <v>202</v>
      </c>
      <c r="B122" s="245" t="s">
        <v>219</v>
      </c>
      <c r="C122" s="245" t="s">
        <v>220</v>
      </c>
      <c r="D122" s="250" t="s">
        <v>203</v>
      </c>
      <c r="E122" s="615"/>
      <c r="F122" s="395">
        <v>40000</v>
      </c>
    </row>
    <row r="123" spans="1:6" ht="25.5">
      <c r="A123" s="617" t="s">
        <v>204</v>
      </c>
      <c r="B123" s="245" t="s">
        <v>219</v>
      </c>
      <c r="C123" s="245" t="s">
        <v>220</v>
      </c>
      <c r="D123" s="250" t="s">
        <v>205</v>
      </c>
      <c r="E123" s="615"/>
      <c r="F123" s="395">
        <v>40000</v>
      </c>
    </row>
    <row r="124" spans="1:6" ht="25.5">
      <c r="A124" s="244" t="s">
        <v>482</v>
      </c>
      <c r="B124" s="245" t="s">
        <v>219</v>
      </c>
      <c r="C124" s="245" t="s">
        <v>220</v>
      </c>
      <c r="D124" s="250" t="s">
        <v>205</v>
      </c>
      <c r="E124" s="234">
        <v>200</v>
      </c>
      <c r="F124" s="278">
        <v>40000</v>
      </c>
    </row>
    <row r="125" spans="1:6" ht="12.75">
      <c r="A125" s="237" t="s">
        <v>506</v>
      </c>
      <c r="B125" s="238" t="s">
        <v>551</v>
      </c>
      <c r="C125" s="239" t="s">
        <v>912</v>
      </c>
      <c r="D125" s="238" t="s">
        <v>99</v>
      </c>
      <c r="E125" s="238" t="s">
        <v>99</v>
      </c>
      <c r="F125" s="240">
        <f>F126+F136+F155</f>
        <v>8112629.960000001</v>
      </c>
    </row>
    <row r="126" spans="1:6" ht="12.75">
      <c r="A126" s="241" t="s">
        <v>507</v>
      </c>
      <c r="B126" s="242" t="s">
        <v>551</v>
      </c>
      <c r="C126" s="242" t="s">
        <v>548</v>
      </c>
      <c r="D126" s="242" t="s">
        <v>99</v>
      </c>
      <c r="E126" s="242" t="s">
        <v>99</v>
      </c>
      <c r="F126" s="243">
        <f>F127</f>
        <v>380154.9</v>
      </c>
    </row>
    <row r="127" spans="1:6" ht="25.5">
      <c r="A127" s="252" t="s">
        <v>449</v>
      </c>
      <c r="B127" s="245" t="s">
        <v>551</v>
      </c>
      <c r="C127" s="245" t="s">
        <v>548</v>
      </c>
      <c r="D127" s="250" t="s">
        <v>827</v>
      </c>
      <c r="E127" s="245" t="s">
        <v>99</v>
      </c>
      <c r="F127" s="243">
        <f>F128+F132</f>
        <v>380154.9</v>
      </c>
    </row>
    <row r="128" spans="1:6" ht="51">
      <c r="A128" s="253" t="s">
        <v>18</v>
      </c>
      <c r="B128" s="245" t="s">
        <v>551</v>
      </c>
      <c r="C128" s="245" t="s">
        <v>548</v>
      </c>
      <c r="D128" s="250" t="s">
        <v>828</v>
      </c>
      <c r="E128" s="245"/>
      <c r="F128" s="243">
        <f>F129</f>
        <v>84154.9</v>
      </c>
    </row>
    <row r="129" spans="1:6" ht="38.25">
      <c r="A129" s="23" t="s">
        <v>531</v>
      </c>
      <c r="B129" s="245" t="s">
        <v>551</v>
      </c>
      <c r="C129" s="245" t="s">
        <v>548</v>
      </c>
      <c r="D129" s="250" t="s">
        <v>829</v>
      </c>
      <c r="E129" s="245"/>
      <c r="F129" s="243">
        <f>F130</f>
        <v>84154.9</v>
      </c>
    </row>
    <row r="130" spans="1:6" ht="25.5">
      <c r="A130" s="244" t="s">
        <v>448</v>
      </c>
      <c r="B130" s="245" t="s">
        <v>551</v>
      </c>
      <c r="C130" s="245" t="s">
        <v>548</v>
      </c>
      <c r="D130" s="250" t="s">
        <v>830</v>
      </c>
      <c r="E130" s="245"/>
      <c r="F130" s="243">
        <f>F131</f>
        <v>84154.9</v>
      </c>
    </row>
    <row r="131" spans="1:6" ht="25.5">
      <c r="A131" s="244" t="s">
        <v>102</v>
      </c>
      <c r="B131" s="245" t="s">
        <v>551</v>
      </c>
      <c r="C131" s="245" t="s">
        <v>548</v>
      </c>
      <c r="D131" s="250" t="s">
        <v>830</v>
      </c>
      <c r="E131" s="245">
        <v>600</v>
      </c>
      <c r="F131" s="247">
        <f>78467+5687.9</f>
        <v>84154.9</v>
      </c>
    </row>
    <row r="132" spans="1:6" ht="38.25">
      <c r="A132" s="253" t="s">
        <v>20</v>
      </c>
      <c r="B132" s="245" t="s">
        <v>551</v>
      </c>
      <c r="C132" s="245" t="s">
        <v>548</v>
      </c>
      <c r="D132" s="250" t="s">
        <v>833</v>
      </c>
      <c r="E132" s="245"/>
      <c r="F132" s="243">
        <f>F133</f>
        <v>296000</v>
      </c>
    </row>
    <row r="133" spans="1:6" ht="38.25">
      <c r="A133" s="22" t="s">
        <v>903</v>
      </c>
      <c r="B133" s="245" t="s">
        <v>551</v>
      </c>
      <c r="C133" s="245" t="s">
        <v>548</v>
      </c>
      <c r="D133" s="250" t="s">
        <v>834</v>
      </c>
      <c r="E133" s="245"/>
      <c r="F133" s="243">
        <f>F134</f>
        <v>296000</v>
      </c>
    </row>
    <row r="134" spans="1:6" ht="25.5">
      <c r="A134" s="246" t="s">
        <v>469</v>
      </c>
      <c r="B134" s="245" t="s">
        <v>551</v>
      </c>
      <c r="C134" s="245" t="s">
        <v>548</v>
      </c>
      <c r="D134" s="250" t="s">
        <v>835</v>
      </c>
      <c r="E134" s="248" t="s">
        <v>99</v>
      </c>
      <c r="F134" s="243">
        <f>SUM(F135:F135)</f>
        <v>296000</v>
      </c>
    </row>
    <row r="135" spans="1:6" ht="51">
      <c r="A135" s="244" t="s">
        <v>104</v>
      </c>
      <c r="B135" s="245" t="s">
        <v>551</v>
      </c>
      <c r="C135" s="245" t="s">
        <v>548</v>
      </c>
      <c r="D135" s="250" t="s">
        <v>835</v>
      </c>
      <c r="E135" s="245">
        <v>100</v>
      </c>
      <c r="F135" s="247">
        <f>292200+3800</f>
        <v>296000</v>
      </c>
    </row>
    <row r="136" spans="1:6" ht="12.75">
      <c r="A136" s="241" t="s">
        <v>98</v>
      </c>
      <c r="B136" s="242" t="s">
        <v>551</v>
      </c>
      <c r="C136" s="242" t="s">
        <v>220</v>
      </c>
      <c r="D136" s="260" t="s">
        <v>99</v>
      </c>
      <c r="E136" s="260" t="s">
        <v>99</v>
      </c>
      <c r="F136" s="243">
        <f>F137</f>
        <v>7412475.0600000005</v>
      </c>
    </row>
    <row r="137" spans="1:6" ht="63.75">
      <c r="A137" s="252" t="s">
        <v>479</v>
      </c>
      <c r="B137" s="245" t="s">
        <v>551</v>
      </c>
      <c r="C137" s="245" t="s">
        <v>220</v>
      </c>
      <c r="D137" s="250" t="s">
        <v>836</v>
      </c>
      <c r="E137" s="248" t="s">
        <v>99</v>
      </c>
      <c r="F137" s="243">
        <f>F138+F149</f>
        <v>7412475.0600000005</v>
      </c>
    </row>
    <row r="138" spans="1:6" ht="76.5">
      <c r="A138" s="15" t="s">
        <v>530</v>
      </c>
      <c r="B138" s="245" t="s">
        <v>551</v>
      </c>
      <c r="C138" s="245" t="s">
        <v>220</v>
      </c>
      <c r="D138" s="254" t="s">
        <v>488</v>
      </c>
      <c r="E138" s="255" t="s">
        <v>99</v>
      </c>
      <c r="F138" s="243">
        <f>F139+F142</f>
        <v>6254882</v>
      </c>
    </row>
    <row r="139" spans="1:6" ht="25.5">
      <c r="A139" s="23" t="s">
        <v>487</v>
      </c>
      <c r="B139" s="245" t="s">
        <v>551</v>
      </c>
      <c r="C139" s="245" t="s">
        <v>220</v>
      </c>
      <c r="D139" s="250" t="s">
        <v>486</v>
      </c>
      <c r="E139" s="255"/>
      <c r="F139" s="243">
        <f>F140</f>
        <v>1488252</v>
      </c>
    </row>
    <row r="140" spans="1:6" ht="25.5">
      <c r="A140" s="26" t="s">
        <v>838</v>
      </c>
      <c r="B140" s="245" t="s">
        <v>551</v>
      </c>
      <c r="C140" s="245" t="s">
        <v>220</v>
      </c>
      <c r="D140" s="250" t="s">
        <v>485</v>
      </c>
      <c r="E140" s="255"/>
      <c r="F140" s="243">
        <f>F141</f>
        <v>1488252</v>
      </c>
    </row>
    <row r="141" spans="1:7" ht="12.75">
      <c r="A141" s="244" t="s">
        <v>89</v>
      </c>
      <c r="B141" s="245" t="s">
        <v>551</v>
      </c>
      <c r="C141" s="245" t="s">
        <v>220</v>
      </c>
      <c r="D141" s="250" t="s">
        <v>485</v>
      </c>
      <c r="E141" s="246">
        <v>800</v>
      </c>
      <c r="F141" s="247">
        <f>186564+150000+900000+251688</f>
        <v>1488252</v>
      </c>
      <c r="G141" s="618"/>
    </row>
    <row r="142" spans="1:6" ht="38.25">
      <c r="A142" s="23" t="s">
        <v>484</v>
      </c>
      <c r="B142" s="245" t="s">
        <v>551</v>
      </c>
      <c r="C142" s="245" t="s">
        <v>220</v>
      </c>
      <c r="D142" s="250" t="s">
        <v>420</v>
      </c>
      <c r="E142" s="255"/>
      <c r="F142" s="243">
        <f>F143+F145+F147</f>
        <v>4766630</v>
      </c>
    </row>
    <row r="143" spans="1:6" ht="38.25">
      <c r="A143" s="394" t="s">
        <v>461</v>
      </c>
      <c r="B143" s="245" t="s">
        <v>551</v>
      </c>
      <c r="C143" s="245" t="s">
        <v>220</v>
      </c>
      <c r="D143" s="250" t="s">
        <v>354</v>
      </c>
      <c r="E143" s="255"/>
      <c r="F143" s="243">
        <v>4449640</v>
      </c>
    </row>
    <row r="144" spans="1:6" ht="25.5">
      <c r="A144" s="244" t="s">
        <v>482</v>
      </c>
      <c r="B144" s="245" t="s">
        <v>551</v>
      </c>
      <c r="C144" s="245" t="s">
        <v>220</v>
      </c>
      <c r="D144" s="250" t="s">
        <v>354</v>
      </c>
      <c r="E144" s="397">
        <v>200</v>
      </c>
      <c r="F144" s="243">
        <v>4449640</v>
      </c>
    </row>
    <row r="145" spans="1:6" ht="38.25">
      <c r="A145" s="394" t="s">
        <v>461</v>
      </c>
      <c r="B145" s="245" t="s">
        <v>551</v>
      </c>
      <c r="C145" s="245" t="s">
        <v>220</v>
      </c>
      <c r="D145" s="250" t="s">
        <v>462</v>
      </c>
      <c r="E145" s="255"/>
      <c r="F145" s="243">
        <f>F146</f>
        <v>44950</v>
      </c>
    </row>
    <row r="146" spans="1:6" ht="25.5">
      <c r="A146" s="244" t="s">
        <v>482</v>
      </c>
      <c r="B146" s="245" t="s">
        <v>551</v>
      </c>
      <c r="C146" s="245" t="s">
        <v>220</v>
      </c>
      <c r="D146" s="250" t="s">
        <v>462</v>
      </c>
      <c r="E146" s="397">
        <v>200</v>
      </c>
      <c r="F146" s="243">
        <v>44950</v>
      </c>
    </row>
    <row r="147" spans="1:6" ht="25.5">
      <c r="A147" s="25" t="s">
        <v>838</v>
      </c>
      <c r="B147" s="245" t="s">
        <v>551</v>
      </c>
      <c r="C147" s="245" t="s">
        <v>220</v>
      </c>
      <c r="D147" s="250" t="s">
        <v>491</v>
      </c>
      <c r="E147" s="245" t="s">
        <v>99</v>
      </c>
      <c r="F147" s="243">
        <f>F148</f>
        <v>272040</v>
      </c>
    </row>
    <row r="148" spans="1:6" ht="25.5">
      <c r="A148" s="244" t="s">
        <v>482</v>
      </c>
      <c r="B148" s="245" t="s">
        <v>551</v>
      </c>
      <c r="C148" s="245" t="s">
        <v>220</v>
      </c>
      <c r="D148" s="250" t="s">
        <v>491</v>
      </c>
      <c r="E148" s="245">
        <v>200</v>
      </c>
      <c r="F148" s="247">
        <v>272040</v>
      </c>
    </row>
    <row r="149" spans="1:6" ht="76.5">
      <c r="A149" s="29" t="s">
        <v>0</v>
      </c>
      <c r="B149" s="263" t="s">
        <v>551</v>
      </c>
      <c r="C149" s="263" t="s">
        <v>220</v>
      </c>
      <c r="D149" s="264" t="s">
        <v>837</v>
      </c>
      <c r="E149" s="263"/>
      <c r="F149" s="243">
        <f>F150</f>
        <v>1157593.06</v>
      </c>
    </row>
    <row r="150" spans="1:6" ht="63.75">
      <c r="A150" s="23" t="s">
        <v>216</v>
      </c>
      <c r="B150" s="263" t="s">
        <v>551</v>
      </c>
      <c r="C150" s="263" t="s">
        <v>220</v>
      </c>
      <c r="D150" s="265" t="s">
        <v>1</v>
      </c>
      <c r="E150" s="263"/>
      <c r="F150" s="243">
        <f>F151+F153</f>
        <v>1157593.06</v>
      </c>
    </row>
    <row r="151" spans="1:6" ht="38.25">
      <c r="A151" s="26" t="s">
        <v>355</v>
      </c>
      <c r="B151" s="263" t="s">
        <v>551</v>
      </c>
      <c r="C151" s="263" t="s">
        <v>220</v>
      </c>
      <c r="D151" s="250" t="s">
        <v>31</v>
      </c>
      <c r="E151" s="263"/>
      <c r="F151" s="243">
        <f>F152</f>
        <v>934593.06</v>
      </c>
    </row>
    <row r="152" spans="1:7" ht="12.75">
      <c r="A152" s="259" t="s">
        <v>89</v>
      </c>
      <c r="B152" s="263" t="s">
        <v>551</v>
      </c>
      <c r="C152" s="263" t="s">
        <v>220</v>
      </c>
      <c r="D152" s="265" t="s">
        <v>31</v>
      </c>
      <c r="E152" s="263">
        <v>800</v>
      </c>
      <c r="F152" s="243">
        <v>934593.06</v>
      </c>
      <c r="G152" s="391"/>
    </row>
    <row r="153" spans="1:7" ht="25.5">
      <c r="A153" s="244" t="s">
        <v>582</v>
      </c>
      <c r="B153" s="263" t="s">
        <v>551</v>
      </c>
      <c r="C153" s="263" t="s">
        <v>220</v>
      </c>
      <c r="D153" s="265" t="s">
        <v>581</v>
      </c>
      <c r="E153" s="263"/>
      <c r="F153" s="300">
        <v>223000</v>
      </c>
      <c r="G153" s="391"/>
    </row>
    <row r="154" spans="1:7" ht="12.75">
      <c r="A154" s="259" t="s">
        <v>89</v>
      </c>
      <c r="B154" s="263" t="s">
        <v>551</v>
      </c>
      <c r="C154" s="263" t="s">
        <v>220</v>
      </c>
      <c r="D154" s="265" t="s">
        <v>581</v>
      </c>
      <c r="E154" s="263">
        <v>200</v>
      </c>
      <c r="F154" s="300">
        <v>223000</v>
      </c>
      <c r="G154" s="391"/>
    </row>
    <row r="155" spans="1:6" ht="12.75">
      <c r="A155" s="262" t="s">
        <v>173</v>
      </c>
      <c r="B155" s="267" t="s">
        <v>551</v>
      </c>
      <c r="C155" s="267">
        <v>12</v>
      </c>
      <c r="D155" s="264"/>
      <c r="E155" s="267"/>
      <c r="F155" s="300">
        <f>F156</f>
        <v>320000</v>
      </c>
    </row>
    <row r="156" spans="1:6" ht="25.5">
      <c r="A156" s="252" t="s">
        <v>391</v>
      </c>
      <c r="B156" s="263" t="s">
        <v>551</v>
      </c>
      <c r="C156" s="263">
        <v>12</v>
      </c>
      <c r="D156" s="250" t="s">
        <v>820</v>
      </c>
      <c r="E156" s="263"/>
      <c r="F156" s="300">
        <f>F157</f>
        <v>320000</v>
      </c>
    </row>
    <row r="157" spans="1:6" ht="25.5">
      <c r="A157" s="253" t="s">
        <v>392</v>
      </c>
      <c r="B157" s="263" t="s">
        <v>551</v>
      </c>
      <c r="C157" s="263">
        <v>12</v>
      </c>
      <c r="D157" s="254" t="s">
        <v>822</v>
      </c>
      <c r="E157" s="263"/>
      <c r="F157" s="300">
        <f>F158</f>
        <v>320000</v>
      </c>
    </row>
    <row r="158" spans="1:6" ht="25.5">
      <c r="A158" s="244" t="s">
        <v>396</v>
      </c>
      <c r="B158" s="263" t="s">
        <v>551</v>
      </c>
      <c r="C158" s="263">
        <v>12</v>
      </c>
      <c r="D158" s="250" t="s">
        <v>395</v>
      </c>
      <c r="E158" s="263"/>
      <c r="F158" s="300">
        <f>F159</f>
        <v>320000</v>
      </c>
    </row>
    <row r="159" spans="1:6" ht="25.5">
      <c r="A159" s="256" t="s">
        <v>482</v>
      </c>
      <c r="B159" s="269" t="s">
        <v>551</v>
      </c>
      <c r="C159" s="269">
        <v>12</v>
      </c>
      <c r="D159" s="258" t="s">
        <v>395</v>
      </c>
      <c r="E159" s="269">
        <v>200</v>
      </c>
      <c r="F159" s="268">
        <v>320000</v>
      </c>
    </row>
    <row r="160" spans="1:6" ht="12.75">
      <c r="A160" s="237" t="s">
        <v>143</v>
      </c>
      <c r="B160" s="238" t="s">
        <v>767</v>
      </c>
      <c r="C160" s="239" t="s">
        <v>912</v>
      </c>
      <c r="D160" s="238" t="s">
        <v>99</v>
      </c>
      <c r="E160" s="238" t="s">
        <v>99</v>
      </c>
      <c r="F160" s="240">
        <f>F161+F167+F173</f>
        <v>27488825.9</v>
      </c>
    </row>
    <row r="161" spans="1:6" ht="12.75">
      <c r="A161" s="241" t="s">
        <v>490</v>
      </c>
      <c r="B161" s="242" t="s">
        <v>767</v>
      </c>
      <c r="C161" s="270" t="s">
        <v>548</v>
      </c>
      <c r="D161" s="271"/>
      <c r="E161" s="271"/>
      <c r="F161" s="243">
        <f>F162</f>
        <v>853069</v>
      </c>
    </row>
    <row r="162" spans="1:6" ht="54.75" customHeight="1">
      <c r="A162" s="252" t="s">
        <v>480</v>
      </c>
      <c r="B162" s="245" t="s">
        <v>767</v>
      </c>
      <c r="C162" s="272" t="s">
        <v>548</v>
      </c>
      <c r="D162" s="250" t="s">
        <v>839</v>
      </c>
      <c r="E162" s="271"/>
      <c r="F162" s="243">
        <f>F163</f>
        <v>853069</v>
      </c>
    </row>
    <row r="163" spans="1:6" ht="76.5">
      <c r="A163" s="253" t="s">
        <v>481</v>
      </c>
      <c r="B163" s="245" t="s">
        <v>767</v>
      </c>
      <c r="C163" s="272" t="s">
        <v>548</v>
      </c>
      <c r="D163" s="254" t="s">
        <v>563</v>
      </c>
      <c r="E163" s="271"/>
      <c r="F163" s="243">
        <f>F164</f>
        <v>853069</v>
      </c>
    </row>
    <row r="164" spans="1:6" ht="25.5">
      <c r="A164" s="31" t="s">
        <v>489</v>
      </c>
      <c r="B164" s="245" t="s">
        <v>767</v>
      </c>
      <c r="C164" s="272" t="s">
        <v>548</v>
      </c>
      <c r="D164" s="250" t="s">
        <v>53</v>
      </c>
      <c r="E164" s="271"/>
      <c r="F164" s="243">
        <f>F165</f>
        <v>853069</v>
      </c>
    </row>
    <row r="165" spans="1:6" ht="24">
      <c r="A165" s="28" t="s">
        <v>52</v>
      </c>
      <c r="B165" s="245" t="s">
        <v>767</v>
      </c>
      <c r="C165" s="272" t="s">
        <v>548</v>
      </c>
      <c r="D165" s="250" t="s">
        <v>51</v>
      </c>
      <c r="E165" s="271"/>
      <c r="F165" s="243">
        <f>SUM(F166:F166)</f>
        <v>853069</v>
      </c>
    </row>
    <row r="166" spans="1:6" ht="25.5">
      <c r="A166" s="244" t="s">
        <v>482</v>
      </c>
      <c r="B166" s="245" t="s">
        <v>767</v>
      </c>
      <c r="C166" s="272" t="s">
        <v>548</v>
      </c>
      <c r="D166" s="250" t="s">
        <v>51</v>
      </c>
      <c r="E166" s="245">
        <v>200</v>
      </c>
      <c r="F166" s="247">
        <f>675000+120000+58069</f>
        <v>853069</v>
      </c>
    </row>
    <row r="167" spans="1:6" ht="12.75">
      <c r="A167" s="253" t="s">
        <v>465</v>
      </c>
      <c r="B167" s="242" t="s">
        <v>767</v>
      </c>
      <c r="C167" s="270" t="s">
        <v>550</v>
      </c>
      <c r="D167" s="271"/>
      <c r="E167" s="271"/>
      <c r="F167" s="243">
        <f>F168</f>
        <v>1223765</v>
      </c>
    </row>
    <row r="168" spans="1:6" ht="51">
      <c r="A168" s="252" t="s">
        <v>480</v>
      </c>
      <c r="B168" s="245" t="s">
        <v>767</v>
      </c>
      <c r="C168" s="272" t="s">
        <v>550</v>
      </c>
      <c r="D168" s="250" t="s">
        <v>839</v>
      </c>
      <c r="E168" s="271"/>
      <c r="F168" s="243">
        <f>F169</f>
        <v>1223765</v>
      </c>
    </row>
    <row r="169" spans="1:6" ht="76.5">
      <c r="A169" s="253" t="s">
        <v>481</v>
      </c>
      <c r="B169" s="245" t="s">
        <v>767</v>
      </c>
      <c r="C169" s="272" t="s">
        <v>550</v>
      </c>
      <c r="D169" s="254" t="s">
        <v>563</v>
      </c>
      <c r="E169" s="271"/>
      <c r="F169" s="243">
        <f>F170</f>
        <v>1223765</v>
      </c>
    </row>
    <row r="170" spans="1:6" ht="25.5">
      <c r="A170" s="22" t="s">
        <v>520</v>
      </c>
      <c r="B170" s="245" t="s">
        <v>767</v>
      </c>
      <c r="C170" s="272" t="s">
        <v>550</v>
      </c>
      <c r="D170" s="250" t="s">
        <v>529</v>
      </c>
      <c r="E170" s="271"/>
      <c r="F170" s="243">
        <f>F171</f>
        <v>1223765</v>
      </c>
    </row>
    <row r="171" spans="1:6" ht="12.75">
      <c r="A171" s="244" t="s">
        <v>466</v>
      </c>
      <c r="B171" s="245" t="s">
        <v>767</v>
      </c>
      <c r="C171" s="272" t="s">
        <v>550</v>
      </c>
      <c r="D171" s="250" t="s">
        <v>528</v>
      </c>
      <c r="E171" s="271"/>
      <c r="F171" s="243">
        <f>F172</f>
        <v>1223765</v>
      </c>
    </row>
    <row r="172" spans="1:6" ht="25.5">
      <c r="A172" s="244" t="s">
        <v>482</v>
      </c>
      <c r="B172" s="245" t="s">
        <v>767</v>
      </c>
      <c r="C172" s="272" t="s">
        <v>550</v>
      </c>
      <c r="D172" s="250" t="s">
        <v>528</v>
      </c>
      <c r="E172" s="245">
        <v>200</v>
      </c>
      <c r="F172" s="247">
        <f>1164000+59765</f>
        <v>1223765</v>
      </c>
    </row>
    <row r="173" spans="1:6" ht="12.75">
      <c r="A173" s="241" t="s">
        <v>567</v>
      </c>
      <c r="B173" s="242" t="s">
        <v>767</v>
      </c>
      <c r="C173" s="242" t="s">
        <v>219</v>
      </c>
      <c r="D173" s="242" t="s">
        <v>99</v>
      </c>
      <c r="E173" s="242" t="s">
        <v>99</v>
      </c>
      <c r="F173" s="243">
        <f>F174+F185</f>
        <v>25411991.9</v>
      </c>
    </row>
    <row r="174" spans="1:6" ht="55.5" customHeight="1">
      <c r="A174" s="252" t="s">
        <v>480</v>
      </c>
      <c r="B174" s="245" t="s">
        <v>767</v>
      </c>
      <c r="C174" s="245" t="s">
        <v>219</v>
      </c>
      <c r="D174" s="250" t="s">
        <v>839</v>
      </c>
      <c r="E174" s="245" t="s">
        <v>99</v>
      </c>
      <c r="F174" s="243">
        <f>F175</f>
        <v>15799878.9</v>
      </c>
    </row>
    <row r="175" spans="1:6" ht="76.5">
      <c r="A175" s="253" t="s">
        <v>481</v>
      </c>
      <c r="B175" s="245" t="s">
        <v>767</v>
      </c>
      <c r="C175" s="245" t="s">
        <v>219</v>
      </c>
      <c r="D175" s="254" t="s">
        <v>563</v>
      </c>
      <c r="E175" s="246" t="s">
        <v>99</v>
      </c>
      <c r="F175" s="243">
        <f>F176+F180</f>
        <v>15799878.9</v>
      </c>
    </row>
    <row r="176" spans="1:6" ht="25.5">
      <c r="A176" s="31" t="s">
        <v>527</v>
      </c>
      <c r="B176" s="245" t="s">
        <v>767</v>
      </c>
      <c r="C176" s="245" t="s">
        <v>219</v>
      </c>
      <c r="D176" s="250" t="s">
        <v>904</v>
      </c>
      <c r="E176" s="246"/>
      <c r="F176" s="243">
        <f>F177</f>
        <v>10799878.9</v>
      </c>
    </row>
    <row r="177" spans="1:6" ht="12.75">
      <c r="A177" s="26" t="s">
        <v>515</v>
      </c>
      <c r="B177" s="245" t="s">
        <v>767</v>
      </c>
      <c r="C177" s="245" t="s">
        <v>219</v>
      </c>
      <c r="D177" s="250" t="s">
        <v>905</v>
      </c>
      <c r="E177" s="245" t="s">
        <v>99</v>
      </c>
      <c r="F177" s="243">
        <f>SUM(F178:F179)</f>
        <v>10799878.9</v>
      </c>
    </row>
    <row r="178" spans="1:6" ht="25.5">
      <c r="A178" s="244" t="s">
        <v>482</v>
      </c>
      <c r="B178" s="245" t="s">
        <v>767</v>
      </c>
      <c r="C178" s="245" t="s">
        <v>219</v>
      </c>
      <c r="D178" s="250" t="s">
        <v>905</v>
      </c>
      <c r="E178" s="245">
        <v>200</v>
      </c>
      <c r="F178" s="247">
        <f>1361250+437265+239417.9-9000</f>
        <v>2028932.9</v>
      </c>
    </row>
    <row r="179" spans="1:6" ht="12.75">
      <c r="A179" s="244" t="s">
        <v>89</v>
      </c>
      <c r="B179" s="245" t="s">
        <v>767</v>
      </c>
      <c r="C179" s="245" t="s">
        <v>219</v>
      </c>
      <c r="D179" s="250" t="s">
        <v>905</v>
      </c>
      <c r="E179" s="245">
        <v>800</v>
      </c>
      <c r="F179" s="247">
        <f>4610675+223271+1800000+2137000</f>
        <v>8770946</v>
      </c>
    </row>
    <row r="180" spans="1:6" ht="29.25" customHeight="1">
      <c r="A180" s="31" t="s">
        <v>356</v>
      </c>
      <c r="B180" s="245" t="s">
        <v>767</v>
      </c>
      <c r="C180" s="245" t="s">
        <v>219</v>
      </c>
      <c r="D180" s="250" t="s">
        <v>357</v>
      </c>
      <c r="E180" s="245"/>
      <c r="F180" s="247">
        <v>5000000</v>
      </c>
    </row>
    <row r="181" spans="1:6" ht="19.5" customHeight="1">
      <c r="A181" s="204" t="s">
        <v>358</v>
      </c>
      <c r="B181" s="245" t="s">
        <v>767</v>
      </c>
      <c r="C181" s="245" t="s">
        <v>219</v>
      </c>
      <c r="D181" s="250" t="s">
        <v>359</v>
      </c>
      <c r="E181" s="245"/>
      <c r="F181" s="247">
        <v>4950000</v>
      </c>
    </row>
    <row r="182" spans="1:6" ht="29.25" customHeight="1">
      <c r="A182" s="244" t="s">
        <v>482</v>
      </c>
      <c r="B182" s="245" t="s">
        <v>767</v>
      </c>
      <c r="C182" s="245" t="s">
        <v>219</v>
      </c>
      <c r="D182" s="250" t="s">
        <v>359</v>
      </c>
      <c r="E182" s="245">
        <v>200</v>
      </c>
      <c r="F182" s="247">
        <v>4950000</v>
      </c>
    </row>
    <row r="183" spans="1:6" ht="29.25" customHeight="1">
      <c r="A183" s="201" t="s">
        <v>360</v>
      </c>
      <c r="B183" s="245" t="s">
        <v>767</v>
      </c>
      <c r="C183" s="245" t="s">
        <v>219</v>
      </c>
      <c r="D183" s="250" t="s">
        <v>361</v>
      </c>
      <c r="E183" s="245"/>
      <c r="F183" s="247">
        <v>50000</v>
      </c>
    </row>
    <row r="184" spans="1:6" ht="25.5">
      <c r="A184" s="244" t="s">
        <v>482</v>
      </c>
      <c r="B184" s="245" t="s">
        <v>767</v>
      </c>
      <c r="C184" s="245" t="s">
        <v>219</v>
      </c>
      <c r="D184" s="250" t="s">
        <v>361</v>
      </c>
      <c r="E184" s="245">
        <v>200</v>
      </c>
      <c r="F184" s="247">
        <v>50000</v>
      </c>
    </row>
    <row r="185" spans="1:6" ht="51">
      <c r="A185" s="252" t="s">
        <v>475</v>
      </c>
      <c r="B185" s="245" t="s">
        <v>767</v>
      </c>
      <c r="C185" s="245" t="s">
        <v>219</v>
      </c>
      <c r="D185" s="250" t="s">
        <v>397</v>
      </c>
      <c r="E185" s="245"/>
      <c r="F185" s="243">
        <f>F186</f>
        <v>9612113</v>
      </c>
    </row>
    <row r="186" spans="1:6" ht="25.5">
      <c r="A186" s="31" t="s">
        <v>690</v>
      </c>
      <c r="B186" s="245" t="s">
        <v>767</v>
      </c>
      <c r="C186" s="245" t="s">
        <v>219</v>
      </c>
      <c r="D186" s="250" t="s">
        <v>689</v>
      </c>
      <c r="E186" s="245"/>
      <c r="F186" s="243">
        <f>F187</f>
        <v>9612113</v>
      </c>
    </row>
    <row r="187" spans="1:6" ht="25.5">
      <c r="A187" s="405" t="s">
        <v>692</v>
      </c>
      <c r="B187" s="245" t="s">
        <v>767</v>
      </c>
      <c r="C187" s="245" t="s">
        <v>219</v>
      </c>
      <c r="D187" s="250" t="s">
        <v>691</v>
      </c>
      <c r="E187" s="245"/>
      <c r="F187" s="243">
        <f>F188</f>
        <v>9612113</v>
      </c>
    </row>
    <row r="188" spans="1:6" ht="25.5">
      <c r="A188" s="244" t="s">
        <v>482</v>
      </c>
      <c r="B188" s="245" t="s">
        <v>767</v>
      </c>
      <c r="C188" s="245" t="s">
        <v>219</v>
      </c>
      <c r="D188" s="250" t="s">
        <v>691</v>
      </c>
      <c r="E188" s="245">
        <v>200</v>
      </c>
      <c r="F188" s="247">
        <f>950000+8904531-242418</f>
        <v>9612113</v>
      </c>
    </row>
    <row r="189" spans="1:6" ht="12.75">
      <c r="A189" s="619" t="s">
        <v>369</v>
      </c>
      <c r="B189" s="272" t="s">
        <v>552</v>
      </c>
      <c r="C189" s="297"/>
      <c r="D189" s="298"/>
      <c r="E189" s="297"/>
      <c r="F189" s="268">
        <v>614168.1</v>
      </c>
    </row>
    <row r="190" spans="1:6" ht="12.75">
      <c r="A190" s="392" t="s">
        <v>370</v>
      </c>
      <c r="B190" s="393" t="s">
        <v>552</v>
      </c>
      <c r="C190" s="393" t="s">
        <v>767</v>
      </c>
      <c r="D190" s="298"/>
      <c r="E190" s="297"/>
      <c r="F190" s="268">
        <v>614168.1</v>
      </c>
    </row>
    <row r="191" spans="1:6" ht="51">
      <c r="A191" s="252" t="s">
        <v>480</v>
      </c>
      <c r="B191" s="393" t="s">
        <v>552</v>
      </c>
      <c r="C191" s="393" t="s">
        <v>767</v>
      </c>
      <c r="D191" s="250" t="s">
        <v>839</v>
      </c>
      <c r="E191" s="297"/>
      <c r="F191" s="268">
        <v>614168.1</v>
      </c>
    </row>
    <row r="192" spans="1:6" ht="38.25">
      <c r="A192" s="253" t="s">
        <v>374</v>
      </c>
      <c r="B192" s="393" t="s">
        <v>552</v>
      </c>
      <c r="C192" s="393" t="s">
        <v>767</v>
      </c>
      <c r="D192" s="254" t="s">
        <v>371</v>
      </c>
      <c r="E192" s="297"/>
      <c r="F192" s="268">
        <v>614168.1</v>
      </c>
    </row>
    <row r="193" spans="1:6" ht="25.5">
      <c r="A193" s="31" t="s">
        <v>372</v>
      </c>
      <c r="B193" s="393" t="s">
        <v>552</v>
      </c>
      <c r="C193" s="393" t="s">
        <v>767</v>
      </c>
      <c r="D193" s="250" t="s">
        <v>373</v>
      </c>
      <c r="E193" s="297"/>
      <c r="F193" s="268">
        <v>614168.1</v>
      </c>
    </row>
    <row r="194" spans="1:6" ht="25.5">
      <c r="A194" s="244" t="s">
        <v>482</v>
      </c>
      <c r="B194" s="393" t="s">
        <v>552</v>
      </c>
      <c r="C194" s="393" t="s">
        <v>767</v>
      </c>
      <c r="D194" s="250" t="s">
        <v>373</v>
      </c>
      <c r="E194" s="297">
        <v>200</v>
      </c>
      <c r="F194" s="268">
        <v>614168.1</v>
      </c>
    </row>
    <row r="195" spans="1:6" ht="12.75">
      <c r="A195" s="237" t="s">
        <v>568</v>
      </c>
      <c r="B195" s="238" t="s">
        <v>768</v>
      </c>
      <c r="C195" s="239" t="s">
        <v>912</v>
      </c>
      <c r="D195" s="238" t="s">
        <v>99</v>
      </c>
      <c r="E195" s="238" t="s">
        <v>99</v>
      </c>
      <c r="F195" s="273">
        <f>F196+F214+F231+F239+F254</f>
        <v>239140230.04000002</v>
      </c>
    </row>
    <row r="196" spans="1:6" ht="12.75">
      <c r="A196" s="241" t="s">
        <v>569</v>
      </c>
      <c r="B196" s="242" t="s">
        <v>768</v>
      </c>
      <c r="C196" s="242" t="s">
        <v>548</v>
      </c>
      <c r="D196" s="242" t="s">
        <v>99</v>
      </c>
      <c r="E196" s="242" t="s">
        <v>99</v>
      </c>
      <c r="F196" s="274">
        <f>F197</f>
        <v>93051750.48</v>
      </c>
    </row>
    <row r="197" spans="1:6" ht="38.25">
      <c r="A197" s="252" t="s">
        <v>58</v>
      </c>
      <c r="B197" s="245" t="s">
        <v>768</v>
      </c>
      <c r="C197" s="245" t="s">
        <v>548</v>
      </c>
      <c r="D197" s="250" t="s">
        <v>564</v>
      </c>
      <c r="E197" s="245" t="s">
        <v>99</v>
      </c>
      <c r="F197" s="243">
        <f>F198</f>
        <v>93051750.48</v>
      </c>
    </row>
    <row r="198" spans="1:6" ht="38.25">
      <c r="A198" s="253" t="s">
        <v>59</v>
      </c>
      <c r="B198" s="245" t="s">
        <v>768</v>
      </c>
      <c r="C198" s="245" t="s">
        <v>548</v>
      </c>
      <c r="D198" s="254" t="s">
        <v>565</v>
      </c>
      <c r="E198" s="246" t="s">
        <v>99</v>
      </c>
      <c r="F198" s="243">
        <f>F199+F207</f>
        <v>93051750.48</v>
      </c>
    </row>
    <row r="199" spans="1:6" ht="25.5">
      <c r="A199" s="22" t="s">
        <v>906</v>
      </c>
      <c r="B199" s="245" t="s">
        <v>768</v>
      </c>
      <c r="C199" s="245" t="s">
        <v>548</v>
      </c>
      <c r="D199" s="250" t="s">
        <v>566</v>
      </c>
      <c r="E199" s="246"/>
      <c r="F199" s="243">
        <f>F200+F203</f>
        <v>89045419.48</v>
      </c>
    </row>
    <row r="200" spans="1:6" ht="93.75" customHeight="1">
      <c r="A200" s="16" t="s">
        <v>630</v>
      </c>
      <c r="B200" s="245" t="s">
        <v>768</v>
      </c>
      <c r="C200" s="245" t="s">
        <v>548</v>
      </c>
      <c r="D200" s="250" t="s">
        <v>631</v>
      </c>
      <c r="E200" s="245" t="s">
        <v>99</v>
      </c>
      <c r="F200" s="243">
        <f>SUM(F201:F202)</f>
        <v>48099805</v>
      </c>
    </row>
    <row r="201" spans="1:6" ht="51">
      <c r="A201" s="244" t="s">
        <v>104</v>
      </c>
      <c r="B201" s="245" t="s">
        <v>768</v>
      </c>
      <c r="C201" s="245" t="s">
        <v>548</v>
      </c>
      <c r="D201" s="250" t="s">
        <v>631</v>
      </c>
      <c r="E201" s="245" t="s">
        <v>27</v>
      </c>
      <c r="F201" s="247">
        <f>43793940+1496974-660+660+2322911</f>
        <v>47613825</v>
      </c>
    </row>
    <row r="202" spans="1:6" ht="25.5">
      <c r="A202" s="244" t="s">
        <v>482</v>
      </c>
      <c r="B202" s="245" t="s">
        <v>768</v>
      </c>
      <c r="C202" s="245" t="s">
        <v>548</v>
      </c>
      <c r="D202" s="250" t="s">
        <v>631</v>
      </c>
      <c r="E202" s="245" t="s">
        <v>600</v>
      </c>
      <c r="F202" s="247">
        <v>485980</v>
      </c>
    </row>
    <row r="203" spans="1:6" ht="25.5">
      <c r="A203" s="246" t="s">
        <v>126</v>
      </c>
      <c r="B203" s="245" t="s">
        <v>768</v>
      </c>
      <c r="C203" s="245" t="s">
        <v>548</v>
      </c>
      <c r="D203" s="250" t="s">
        <v>632</v>
      </c>
      <c r="E203" s="245"/>
      <c r="F203" s="243">
        <f>SUM(F204:F206)</f>
        <v>40945614.480000004</v>
      </c>
    </row>
    <row r="204" spans="1:6" ht="51">
      <c r="A204" s="244" t="s">
        <v>104</v>
      </c>
      <c r="B204" s="245" t="s">
        <v>768</v>
      </c>
      <c r="C204" s="245" t="s">
        <v>548</v>
      </c>
      <c r="D204" s="250" t="s">
        <v>632</v>
      </c>
      <c r="E204" s="245">
        <v>100</v>
      </c>
      <c r="F204" s="247">
        <f>14489809+225515</f>
        <v>14715324</v>
      </c>
    </row>
    <row r="205" spans="1:6" ht="25.5">
      <c r="A205" s="244" t="s">
        <v>482</v>
      </c>
      <c r="B205" s="245" t="s">
        <v>768</v>
      </c>
      <c r="C205" s="245" t="s">
        <v>548</v>
      </c>
      <c r="D205" s="250" t="s">
        <v>632</v>
      </c>
      <c r="E205" s="245">
        <v>200</v>
      </c>
      <c r="F205" s="247">
        <f>27206593.35-3292702.87</f>
        <v>23913890.48</v>
      </c>
    </row>
    <row r="206" spans="1:6" ht="12.75">
      <c r="A206" s="244" t="s">
        <v>89</v>
      </c>
      <c r="B206" s="245" t="s">
        <v>768</v>
      </c>
      <c r="C206" s="245" t="s">
        <v>548</v>
      </c>
      <c r="D206" s="250" t="s">
        <v>632</v>
      </c>
      <c r="E206" s="245">
        <v>800</v>
      </c>
      <c r="F206" s="247">
        <v>2316400</v>
      </c>
    </row>
    <row r="207" spans="1:6" ht="25.5">
      <c r="A207" s="31" t="s">
        <v>419</v>
      </c>
      <c r="B207" s="263" t="s">
        <v>768</v>
      </c>
      <c r="C207" s="263" t="s">
        <v>548</v>
      </c>
      <c r="D207" s="265" t="s">
        <v>141</v>
      </c>
      <c r="E207" s="245"/>
      <c r="F207" s="247">
        <f>F208+F210+F212</f>
        <v>4006331</v>
      </c>
    </row>
    <row r="208" spans="1:6" ht="32.25" customHeight="1">
      <c r="A208" s="406" t="s">
        <v>800</v>
      </c>
      <c r="B208" s="245" t="s">
        <v>768</v>
      </c>
      <c r="C208" s="245" t="s">
        <v>548</v>
      </c>
      <c r="D208" s="250" t="s">
        <v>468</v>
      </c>
      <c r="E208" s="245"/>
      <c r="F208" s="247">
        <f>F209</f>
        <v>2190481</v>
      </c>
    </row>
    <row r="209" spans="1:6" ht="25.5">
      <c r="A209" s="244" t="s">
        <v>482</v>
      </c>
      <c r="B209" s="245" t="s">
        <v>768</v>
      </c>
      <c r="C209" s="245" t="s">
        <v>548</v>
      </c>
      <c r="D209" s="250" t="s">
        <v>468</v>
      </c>
      <c r="E209" s="245">
        <v>200</v>
      </c>
      <c r="F209" s="247">
        <f>219048+1971433</f>
        <v>2190481</v>
      </c>
    </row>
    <row r="210" spans="1:6" ht="25.5">
      <c r="A210" s="394" t="s">
        <v>294</v>
      </c>
      <c r="B210" s="245" t="s">
        <v>768</v>
      </c>
      <c r="C210" s="245" t="s">
        <v>548</v>
      </c>
      <c r="D210" s="250" t="s">
        <v>293</v>
      </c>
      <c r="E210" s="245"/>
      <c r="F210" s="247">
        <f>F211</f>
        <v>1180303</v>
      </c>
    </row>
    <row r="211" spans="1:6" ht="25.5">
      <c r="A211" s="244" t="s">
        <v>482</v>
      </c>
      <c r="B211" s="245" t="s">
        <v>768</v>
      </c>
      <c r="C211" s="245" t="s">
        <v>548</v>
      </c>
      <c r="D211" s="250" t="s">
        <v>293</v>
      </c>
      <c r="E211" s="245">
        <v>200</v>
      </c>
      <c r="F211" s="247">
        <v>1180303</v>
      </c>
    </row>
    <row r="212" spans="1:6" ht="25.5">
      <c r="A212" s="30" t="s">
        <v>500</v>
      </c>
      <c r="B212" s="245" t="s">
        <v>768</v>
      </c>
      <c r="C212" s="245" t="s">
        <v>548</v>
      </c>
      <c r="D212" s="250" t="s">
        <v>662</v>
      </c>
      <c r="E212" s="245"/>
      <c r="F212" s="247">
        <f>F213</f>
        <v>635547</v>
      </c>
    </row>
    <row r="213" spans="1:6" ht="25.5">
      <c r="A213" s="244" t="s">
        <v>482</v>
      </c>
      <c r="B213" s="245" t="s">
        <v>768</v>
      </c>
      <c r="C213" s="245" t="s">
        <v>548</v>
      </c>
      <c r="D213" s="250" t="s">
        <v>662</v>
      </c>
      <c r="E213" s="245">
        <v>200</v>
      </c>
      <c r="F213" s="247">
        <v>635547</v>
      </c>
    </row>
    <row r="214" spans="1:6" ht="12.75">
      <c r="A214" s="241" t="s">
        <v>570</v>
      </c>
      <c r="B214" s="242" t="s">
        <v>768</v>
      </c>
      <c r="C214" s="242" t="s">
        <v>550</v>
      </c>
      <c r="D214" s="242" t="s">
        <v>99</v>
      </c>
      <c r="E214" s="242" t="s">
        <v>99</v>
      </c>
      <c r="F214" s="274">
        <f>F215</f>
        <v>112158776</v>
      </c>
    </row>
    <row r="215" spans="1:6" ht="38.25">
      <c r="A215" s="252" t="s">
        <v>60</v>
      </c>
      <c r="B215" s="245" t="s">
        <v>768</v>
      </c>
      <c r="C215" s="245" t="s">
        <v>550</v>
      </c>
      <c r="D215" s="250" t="s">
        <v>564</v>
      </c>
      <c r="E215" s="245" t="s">
        <v>99</v>
      </c>
      <c r="F215" s="243">
        <f>F216+F227</f>
        <v>112158776</v>
      </c>
    </row>
    <row r="216" spans="1:6" ht="38.25">
      <c r="A216" s="253" t="s">
        <v>59</v>
      </c>
      <c r="B216" s="245" t="s">
        <v>768</v>
      </c>
      <c r="C216" s="245" t="s">
        <v>550</v>
      </c>
      <c r="D216" s="250" t="s">
        <v>565</v>
      </c>
      <c r="E216" s="246" t="s">
        <v>99</v>
      </c>
      <c r="F216" s="243">
        <f>F217+F222</f>
        <v>109258776</v>
      </c>
    </row>
    <row r="217" spans="1:6" ht="25.5">
      <c r="A217" s="22" t="s">
        <v>908</v>
      </c>
      <c r="B217" s="245" t="s">
        <v>768</v>
      </c>
      <c r="C217" s="245" t="s">
        <v>550</v>
      </c>
      <c r="D217" s="250" t="s">
        <v>633</v>
      </c>
      <c r="E217" s="246"/>
      <c r="F217" s="243">
        <f>F218+F220</f>
        <v>106846110</v>
      </c>
    </row>
    <row r="218" spans="1:6" ht="89.25">
      <c r="A218" s="16" t="s">
        <v>430</v>
      </c>
      <c r="B218" s="245" t="s">
        <v>768</v>
      </c>
      <c r="C218" s="245" t="s">
        <v>550</v>
      </c>
      <c r="D218" s="250" t="s">
        <v>634</v>
      </c>
      <c r="E218" s="245" t="s">
        <v>99</v>
      </c>
      <c r="F218" s="243">
        <f>F219</f>
        <v>88283012</v>
      </c>
    </row>
    <row r="219" spans="1:6" ht="25.5">
      <c r="A219" s="244" t="s">
        <v>102</v>
      </c>
      <c r="B219" s="245" t="s">
        <v>768</v>
      </c>
      <c r="C219" s="245" t="s">
        <v>550</v>
      </c>
      <c r="D219" s="250" t="s">
        <v>634</v>
      </c>
      <c r="E219" s="245">
        <v>600</v>
      </c>
      <c r="F219" s="247">
        <f>84124714.13+533.87+4157764</f>
        <v>88283012</v>
      </c>
    </row>
    <row r="220" spans="1:6" ht="25.5">
      <c r="A220" s="246" t="s">
        <v>126</v>
      </c>
      <c r="B220" s="245" t="s">
        <v>768</v>
      </c>
      <c r="C220" s="245" t="s">
        <v>550</v>
      </c>
      <c r="D220" s="250" t="s">
        <v>635</v>
      </c>
      <c r="E220" s="245"/>
      <c r="F220" s="243">
        <f>F221</f>
        <v>18563098</v>
      </c>
    </row>
    <row r="221" spans="1:6" ht="25.5">
      <c r="A221" s="244" t="s">
        <v>102</v>
      </c>
      <c r="B221" s="245" t="s">
        <v>768</v>
      </c>
      <c r="C221" s="245" t="s">
        <v>550</v>
      </c>
      <c r="D221" s="250" t="s">
        <v>635</v>
      </c>
      <c r="E221" s="245">
        <v>600</v>
      </c>
      <c r="F221" s="247">
        <f>12475046+3023000-6000+803455+2267597</f>
        <v>18563098</v>
      </c>
    </row>
    <row r="222" spans="1:6" ht="25.5">
      <c r="A222" s="31" t="s">
        <v>909</v>
      </c>
      <c r="B222" s="263" t="s">
        <v>768</v>
      </c>
      <c r="C222" s="263" t="s">
        <v>550</v>
      </c>
      <c r="D222" s="265" t="s">
        <v>636</v>
      </c>
      <c r="E222" s="245"/>
      <c r="F222" s="247">
        <f>F223+F225</f>
        <v>2412666</v>
      </c>
    </row>
    <row r="223" spans="1:6" ht="63.75">
      <c r="A223" s="201" t="s">
        <v>295</v>
      </c>
      <c r="B223" s="620" t="s">
        <v>768</v>
      </c>
      <c r="C223" s="620" t="s">
        <v>550</v>
      </c>
      <c r="D223" s="621" t="s">
        <v>296</v>
      </c>
      <c r="E223" s="609"/>
      <c r="F223" s="247">
        <f>F224</f>
        <v>223284</v>
      </c>
    </row>
    <row r="224" spans="1:6" ht="25.5">
      <c r="A224" s="622" t="s">
        <v>102</v>
      </c>
      <c r="B224" s="620" t="s">
        <v>768</v>
      </c>
      <c r="C224" s="620" t="s">
        <v>550</v>
      </c>
      <c r="D224" s="621" t="s">
        <v>296</v>
      </c>
      <c r="E224" s="609">
        <v>600</v>
      </c>
      <c r="F224" s="247">
        <v>223284</v>
      </c>
    </row>
    <row r="225" spans="1:6" ht="51">
      <c r="A225" s="30" t="s">
        <v>930</v>
      </c>
      <c r="B225" s="263" t="s">
        <v>768</v>
      </c>
      <c r="C225" s="263" t="s">
        <v>550</v>
      </c>
      <c r="D225" s="265" t="s">
        <v>637</v>
      </c>
      <c r="E225" s="263"/>
      <c r="F225" s="274">
        <f>F226</f>
        <v>2189382</v>
      </c>
    </row>
    <row r="226" spans="1:6" ht="25.5">
      <c r="A226" s="259" t="s">
        <v>102</v>
      </c>
      <c r="B226" s="263" t="s">
        <v>768</v>
      </c>
      <c r="C226" s="263" t="s">
        <v>550</v>
      </c>
      <c r="D226" s="265" t="s">
        <v>637</v>
      </c>
      <c r="E226" s="263">
        <v>600</v>
      </c>
      <c r="F226" s="275">
        <v>2189382</v>
      </c>
    </row>
    <row r="227" spans="1:6" ht="63.75">
      <c r="A227" s="632" t="s">
        <v>206</v>
      </c>
      <c r="B227" s="609" t="s">
        <v>768</v>
      </c>
      <c r="C227" s="609" t="s">
        <v>550</v>
      </c>
      <c r="D227" s="612" t="s">
        <v>207</v>
      </c>
      <c r="E227" s="620"/>
      <c r="F227" s="623">
        <v>2900000</v>
      </c>
    </row>
    <row r="228" spans="1:6" ht="51">
      <c r="A228" s="633" t="s">
        <v>208</v>
      </c>
      <c r="B228" s="631" t="s">
        <v>768</v>
      </c>
      <c r="C228" s="609" t="s">
        <v>550</v>
      </c>
      <c r="D228" s="612" t="s">
        <v>209</v>
      </c>
      <c r="E228" s="620"/>
      <c r="F228" s="623">
        <v>2900000</v>
      </c>
    </row>
    <row r="229" spans="1:6" ht="38.25">
      <c r="A229" s="201" t="s">
        <v>210</v>
      </c>
      <c r="B229" s="609" t="s">
        <v>768</v>
      </c>
      <c r="C229" s="609" t="s">
        <v>550</v>
      </c>
      <c r="D229" s="612" t="s">
        <v>211</v>
      </c>
      <c r="E229" s="620"/>
      <c r="F229" s="623">
        <v>2900000</v>
      </c>
    </row>
    <row r="230" spans="1:6" ht="25.5">
      <c r="A230" s="622" t="s">
        <v>212</v>
      </c>
      <c r="B230" s="609" t="s">
        <v>768</v>
      </c>
      <c r="C230" s="609" t="s">
        <v>550</v>
      </c>
      <c r="D230" s="612" t="s">
        <v>211</v>
      </c>
      <c r="E230" s="620">
        <v>400</v>
      </c>
      <c r="F230" s="623">
        <v>2900000</v>
      </c>
    </row>
    <row r="231" spans="1:6" ht="12.75">
      <c r="A231" s="262" t="s">
        <v>848</v>
      </c>
      <c r="B231" s="263" t="s">
        <v>768</v>
      </c>
      <c r="C231" s="276" t="s">
        <v>219</v>
      </c>
      <c r="D231" s="265"/>
      <c r="E231" s="263"/>
      <c r="F231" s="274">
        <f>F232</f>
        <v>25281286.56</v>
      </c>
    </row>
    <row r="232" spans="1:6" ht="38.25">
      <c r="A232" s="252" t="s">
        <v>58</v>
      </c>
      <c r="B232" s="245" t="s">
        <v>768</v>
      </c>
      <c r="C232" s="272" t="s">
        <v>219</v>
      </c>
      <c r="D232" s="250" t="s">
        <v>564</v>
      </c>
      <c r="E232" s="245"/>
      <c r="F232" s="243">
        <f>F233</f>
        <v>25281286.56</v>
      </c>
    </row>
    <row r="233" spans="1:6" ht="51">
      <c r="A233" s="253" t="s">
        <v>809</v>
      </c>
      <c r="B233" s="245" t="s">
        <v>768</v>
      </c>
      <c r="C233" s="272" t="s">
        <v>219</v>
      </c>
      <c r="D233" s="254" t="s">
        <v>638</v>
      </c>
      <c r="E233" s="246" t="s">
        <v>99</v>
      </c>
      <c r="F233" s="243">
        <f>F234</f>
        <v>25281286.56</v>
      </c>
    </row>
    <row r="234" spans="1:6" ht="38.25">
      <c r="A234" s="22" t="s">
        <v>910</v>
      </c>
      <c r="B234" s="245" t="s">
        <v>768</v>
      </c>
      <c r="C234" s="272" t="s">
        <v>219</v>
      </c>
      <c r="D234" s="250" t="s">
        <v>639</v>
      </c>
      <c r="E234" s="246"/>
      <c r="F234" s="243">
        <f>F235</f>
        <v>25281286.56</v>
      </c>
    </row>
    <row r="235" spans="1:6" ht="25.5">
      <c r="A235" s="246" t="s">
        <v>126</v>
      </c>
      <c r="B235" s="245" t="s">
        <v>768</v>
      </c>
      <c r="C235" s="272" t="s">
        <v>219</v>
      </c>
      <c r="D235" s="250" t="s">
        <v>640</v>
      </c>
      <c r="E235" s="245" t="s">
        <v>99</v>
      </c>
      <c r="F235" s="243">
        <f>SUM(F236:F238)</f>
        <v>25281286.56</v>
      </c>
    </row>
    <row r="236" spans="1:6" ht="51">
      <c r="A236" s="244" t="s">
        <v>104</v>
      </c>
      <c r="B236" s="245" t="s">
        <v>768</v>
      </c>
      <c r="C236" s="272" t="s">
        <v>219</v>
      </c>
      <c r="D236" s="250" t="s">
        <v>640</v>
      </c>
      <c r="E236" s="245">
        <v>100</v>
      </c>
      <c r="F236" s="247">
        <f>23387054-202523</f>
        <v>23184531</v>
      </c>
    </row>
    <row r="237" spans="1:6" ht="25.5">
      <c r="A237" s="244" t="s">
        <v>482</v>
      </c>
      <c r="B237" s="245" t="s">
        <v>768</v>
      </c>
      <c r="C237" s="272" t="s">
        <v>219</v>
      </c>
      <c r="D237" s="250" t="s">
        <v>640</v>
      </c>
      <c r="E237" s="245">
        <v>200</v>
      </c>
      <c r="F237" s="247">
        <f>1246073.76+28000+201223.8</f>
        <v>1475297.56</v>
      </c>
    </row>
    <row r="238" spans="1:6" ht="12.75">
      <c r="A238" s="244" t="s">
        <v>89</v>
      </c>
      <c r="B238" s="245" t="s">
        <v>768</v>
      </c>
      <c r="C238" s="272" t="s">
        <v>219</v>
      </c>
      <c r="D238" s="250" t="s">
        <v>640</v>
      </c>
      <c r="E238" s="245">
        <v>800</v>
      </c>
      <c r="F238" s="247">
        <f>821003+6158-205703</f>
        <v>621458</v>
      </c>
    </row>
    <row r="239" spans="1:6" ht="12.75">
      <c r="A239" s="241" t="s">
        <v>849</v>
      </c>
      <c r="B239" s="242" t="s">
        <v>768</v>
      </c>
      <c r="C239" s="242" t="s">
        <v>768</v>
      </c>
      <c r="D239" s="242" t="s">
        <v>99</v>
      </c>
      <c r="E239" s="242" t="s">
        <v>99</v>
      </c>
      <c r="F239" s="274">
        <f>F240</f>
        <v>1427654</v>
      </c>
    </row>
    <row r="240" spans="1:6" ht="51">
      <c r="A240" s="252" t="s">
        <v>313</v>
      </c>
      <c r="B240" s="245" t="s">
        <v>768</v>
      </c>
      <c r="C240" s="245" t="s">
        <v>768</v>
      </c>
      <c r="D240" s="250" t="s">
        <v>312</v>
      </c>
      <c r="E240" s="245" t="s">
        <v>99</v>
      </c>
      <c r="F240" s="243">
        <f>F241</f>
        <v>1427654</v>
      </c>
    </row>
    <row r="241" spans="1:6" ht="76.5">
      <c r="A241" s="15" t="s">
        <v>526</v>
      </c>
      <c r="B241" s="245" t="s">
        <v>768</v>
      </c>
      <c r="C241" s="245" t="s">
        <v>768</v>
      </c>
      <c r="D241" s="254" t="s">
        <v>629</v>
      </c>
      <c r="E241" s="246" t="s">
        <v>99</v>
      </c>
      <c r="F241" s="243">
        <f>F242+F251</f>
        <v>1427654</v>
      </c>
    </row>
    <row r="242" spans="1:6" ht="25.5">
      <c r="A242" s="25" t="s">
        <v>628</v>
      </c>
      <c r="B242" s="245" t="s">
        <v>768</v>
      </c>
      <c r="C242" s="245" t="s">
        <v>768</v>
      </c>
      <c r="D242" s="250" t="s">
        <v>627</v>
      </c>
      <c r="E242" s="246"/>
      <c r="F242" s="243">
        <f>F243+F245+F248</f>
        <v>1406089</v>
      </c>
    </row>
    <row r="243" spans="1:6" ht="12.75">
      <c r="A243" s="25" t="s">
        <v>626</v>
      </c>
      <c r="B243" s="245" t="s">
        <v>768</v>
      </c>
      <c r="C243" s="245" t="s">
        <v>768</v>
      </c>
      <c r="D243" s="250" t="s">
        <v>625</v>
      </c>
      <c r="E243" s="246"/>
      <c r="F243" s="243">
        <f>F244</f>
        <v>10000</v>
      </c>
    </row>
    <row r="244" spans="1:6" ht="25.5">
      <c r="A244" s="244" t="s">
        <v>102</v>
      </c>
      <c r="B244" s="245" t="s">
        <v>768</v>
      </c>
      <c r="C244" s="245" t="s">
        <v>768</v>
      </c>
      <c r="D244" s="250" t="s">
        <v>625</v>
      </c>
      <c r="E244" s="246">
        <v>600</v>
      </c>
      <c r="F244" s="247">
        <v>10000</v>
      </c>
    </row>
    <row r="245" spans="1:6" ht="12.75">
      <c r="A245" s="394" t="s">
        <v>297</v>
      </c>
      <c r="B245" s="609" t="s">
        <v>768</v>
      </c>
      <c r="C245" s="609" t="s">
        <v>768</v>
      </c>
      <c r="D245" s="612" t="s">
        <v>298</v>
      </c>
      <c r="E245" s="625"/>
      <c r="F245" s="247">
        <f>F246+F247</f>
        <v>500219</v>
      </c>
    </row>
    <row r="246" spans="1:6" ht="12.75">
      <c r="A246" s="608" t="s">
        <v>93</v>
      </c>
      <c r="B246" s="609" t="s">
        <v>768</v>
      </c>
      <c r="C246" s="609" t="s">
        <v>768</v>
      </c>
      <c r="D246" s="612" t="s">
        <v>298</v>
      </c>
      <c r="E246" s="625">
        <v>300</v>
      </c>
      <c r="F246" s="247">
        <v>281983</v>
      </c>
    </row>
    <row r="247" spans="1:6" ht="25.5">
      <c r="A247" s="608" t="s">
        <v>102</v>
      </c>
      <c r="B247" s="609" t="s">
        <v>768</v>
      </c>
      <c r="C247" s="609" t="s">
        <v>768</v>
      </c>
      <c r="D247" s="612" t="s">
        <v>298</v>
      </c>
      <c r="E247" s="625">
        <v>600</v>
      </c>
      <c r="F247" s="247">
        <v>218236</v>
      </c>
    </row>
    <row r="248" spans="1:6" ht="25.5">
      <c r="A248" s="30" t="s">
        <v>131</v>
      </c>
      <c r="B248" s="245" t="s">
        <v>768</v>
      </c>
      <c r="C248" s="245" t="s">
        <v>768</v>
      </c>
      <c r="D248" s="250" t="s">
        <v>132</v>
      </c>
      <c r="E248" s="246"/>
      <c r="F248" s="243">
        <f>SUM(F249:F250)</f>
        <v>895870</v>
      </c>
    </row>
    <row r="249" spans="1:6" ht="12.75">
      <c r="A249" s="244" t="s">
        <v>93</v>
      </c>
      <c r="B249" s="245" t="s">
        <v>768</v>
      </c>
      <c r="C249" s="245" t="s">
        <v>768</v>
      </c>
      <c r="D249" s="250" t="s">
        <v>132</v>
      </c>
      <c r="E249" s="246">
        <v>300</v>
      </c>
      <c r="F249" s="247">
        <v>489326</v>
      </c>
    </row>
    <row r="250" spans="1:6" ht="25.5">
      <c r="A250" s="244" t="s">
        <v>102</v>
      </c>
      <c r="B250" s="245" t="s">
        <v>768</v>
      </c>
      <c r="C250" s="245" t="s">
        <v>768</v>
      </c>
      <c r="D250" s="250" t="s">
        <v>132</v>
      </c>
      <c r="E250" s="246">
        <v>600</v>
      </c>
      <c r="F250" s="247">
        <v>406544</v>
      </c>
    </row>
    <row r="251" spans="1:6" ht="51">
      <c r="A251" s="26" t="s">
        <v>72</v>
      </c>
      <c r="B251" s="263" t="s">
        <v>768</v>
      </c>
      <c r="C251" s="263" t="s">
        <v>768</v>
      </c>
      <c r="D251" s="265" t="s">
        <v>73</v>
      </c>
      <c r="E251" s="277"/>
      <c r="F251" s="274">
        <f>F252</f>
        <v>21565</v>
      </c>
    </row>
    <row r="252" spans="1:6" ht="12.75">
      <c r="A252" s="26" t="s">
        <v>75</v>
      </c>
      <c r="B252" s="263" t="s">
        <v>768</v>
      </c>
      <c r="C252" s="263" t="s">
        <v>768</v>
      </c>
      <c r="D252" s="265" t="s">
        <v>74</v>
      </c>
      <c r="E252" s="277"/>
      <c r="F252" s="274">
        <f>F253</f>
        <v>21565</v>
      </c>
    </row>
    <row r="253" spans="1:6" ht="25.5">
      <c r="A253" s="259" t="s">
        <v>482</v>
      </c>
      <c r="B253" s="263" t="s">
        <v>768</v>
      </c>
      <c r="C253" s="263" t="s">
        <v>768</v>
      </c>
      <c r="D253" s="265" t="s">
        <v>74</v>
      </c>
      <c r="E253" s="277">
        <v>200</v>
      </c>
      <c r="F253" s="275">
        <f>10000+11565</f>
        <v>21565</v>
      </c>
    </row>
    <row r="254" spans="1:6" ht="12.75">
      <c r="A254" s="251" t="s">
        <v>571</v>
      </c>
      <c r="B254" s="267" t="s">
        <v>768</v>
      </c>
      <c r="C254" s="267" t="s">
        <v>220</v>
      </c>
      <c r="D254" s="267" t="s">
        <v>99</v>
      </c>
      <c r="E254" s="267" t="s">
        <v>99</v>
      </c>
      <c r="F254" s="274">
        <f>F255</f>
        <v>7220763</v>
      </c>
    </row>
    <row r="255" spans="1:6" ht="38.25">
      <c r="A255" s="252" t="s">
        <v>60</v>
      </c>
      <c r="B255" s="245" t="s">
        <v>768</v>
      </c>
      <c r="C255" s="245" t="s">
        <v>220</v>
      </c>
      <c r="D255" s="250" t="s">
        <v>564</v>
      </c>
      <c r="E255" s="245" t="s">
        <v>99</v>
      </c>
      <c r="F255" s="243">
        <f>F256+F269</f>
        <v>7220763</v>
      </c>
    </row>
    <row r="256" spans="1:6" ht="51">
      <c r="A256" s="253" t="s">
        <v>810</v>
      </c>
      <c r="B256" s="245" t="s">
        <v>768</v>
      </c>
      <c r="C256" s="245" t="s">
        <v>220</v>
      </c>
      <c r="D256" s="250" t="s">
        <v>641</v>
      </c>
      <c r="E256" s="246" t="s">
        <v>99</v>
      </c>
      <c r="F256" s="243">
        <f>F257+F260+F265</f>
        <v>7213763</v>
      </c>
    </row>
    <row r="257" spans="1:6" ht="51">
      <c r="A257" s="22" t="s">
        <v>911</v>
      </c>
      <c r="B257" s="245" t="s">
        <v>768</v>
      </c>
      <c r="C257" s="245" t="s">
        <v>220</v>
      </c>
      <c r="D257" s="250" t="s">
        <v>642</v>
      </c>
      <c r="E257" s="246"/>
      <c r="F257" s="243">
        <f>F258</f>
        <v>221676</v>
      </c>
    </row>
    <row r="258" spans="1:6" ht="38.25">
      <c r="A258" s="244" t="s">
        <v>260</v>
      </c>
      <c r="B258" s="245" t="s">
        <v>768</v>
      </c>
      <c r="C258" s="245" t="s">
        <v>220</v>
      </c>
      <c r="D258" s="250" t="s">
        <v>643</v>
      </c>
      <c r="E258" s="245"/>
      <c r="F258" s="243">
        <f>F259</f>
        <v>221676</v>
      </c>
    </row>
    <row r="259" spans="1:6" ht="51">
      <c r="A259" s="244" t="s">
        <v>104</v>
      </c>
      <c r="B259" s="245" t="s">
        <v>768</v>
      </c>
      <c r="C259" s="245" t="s">
        <v>220</v>
      </c>
      <c r="D259" s="250" t="s">
        <v>643</v>
      </c>
      <c r="E259" s="245">
        <v>100</v>
      </c>
      <c r="F259" s="247">
        <v>221676</v>
      </c>
    </row>
    <row r="260" spans="1:6" ht="38.25">
      <c r="A260" s="25" t="s">
        <v>661</v>
      </c>
      <c r="B260" s="245" t="s">
        <v>768</v>
      </c>
      <c r="C260" s="245" t="s">
        <v>220</v>
      </c>
      <c r="D260" s="250" t="s">
        <v>645</v>
      </c>
      <c r="E260" s="245"/>
      <c r="F260" s="243">
        <f>F261</f>
        <v>5676351</v>
      </c>
    </row>
    <row r="261" spans="1:6" ht="25.5">
      <c r="A261" s="246" t="s">
        <v>126</v>
      </c>
      <c r="B261" s="245" t="s">
        <v>768</v>
      </c>
      <c r="C261" s="245" t="s">
        <v>220</v>
      </c>
      <c r="D261" s="250" t="s">
        <v>646</v>
      </c>
      <c r="E261" s="245" t="s">
        <v>99</v>
      </c>
      <c r="F261" s="243">
        <f>SUM(F262:F264)</f>
        <v>5676351</v>
      </c>
    </row>
    <row r="262" spans="1:6" ht="51">
      <c r="A262" s="244" t="s">
        <v>104</v>
      </c>
      <c r="B262" s="245" t="s">
        <v>768</v>
      </c>
      <c r="C262" s="245" t="s">
        <v>220</v>
      </c>
      <c r="D262" s="250" t="s">
        <v>646</v>
      </c>
      <c r="E262" s="245" t="s">
        <v>27</v>
      </c>
      <c r="F262" s="247">
        <f>4318511+198407+181330-600-123913</f>
        <v>4573735</v>
      </c>
    </row>
    <row r="263" spans="1:6" ht="25.5">
      <c r="A263" s="244" t="s">
        <v>482</v>
      </c>
      <c r="B263" s="245" t="s">
        <v>768</v>
      </c>
      <c r="C263" s="245" t="s">
        <v>220</v>
      </c>
      <c r="D263" s="250" t="s">
        <v>646</v>
      </c>
      <c r="E263" s="245" t="s">
        <v>600</v>
      </c>
      <c r="F263" s="247">
        <f>517330+79017+68540+54107+352936</f>
        <v>1071930</v>
      </c>
    </row>
    <row r="264" spans="1:6" ht="12.75">
      <c r="A264" s="244" t="s">
        <v>89</v>
      </c>
      <c r="B264" s="245" t="s">
        <v>768</v>
      </c>
      <c r="C264" s="245" t="s">
        <v>220</v>
      </c>
      <c r="D264" s="250" t="s">
        <v>646</v>
      </c>
      <c r="E264" s="245">
        <v>800</v>
      </c>
      <c r="F264" s="247">
        <f>6000+24384.5+301.5</f>
        <v>30686</v>
      </c>
    </row>
    <row r="265" spans="1:6" ht="38.25">
      <c r="A265" s="246" t="s">
        <v>394</v>
      </c>
      <c r="B265" s="245" t="s">
        <v>768</v>
      </c>
      <c r="C265" s="245" t="s">
        <v>220</v>
      </c>
      <c r="D265" s="250" t="s">
        <v>398</v>
      </c>
      <c r="E265" s="245"/>
      <c r="F265" s="243">
        <f>F266</f>
        <v>1315736</v>
      </c>
    </row>
    <row r="266" spans="1:6" ht="25.5">
      <c r="A266" s="246" t="s">
        <v>514</v>
      </c>
      <c r="B266" s="245" t="s">
        <v>768</v>
      </c>
      <c r="C266" s="245" t="s">
        <v>220</v>
      </c>
      <c r="D266" s="250" t="s">
        <v>399</v>
      </c>
      <c r="E266" s="245"/>
      <c r="F266" s="243">
        <f>SUM(F267:F268)</f>
        <v>1315736</v>
      </c>
    </row>
    <row r="267" spans="1:6" ht="51">
      <c r="A267" s="244" t="s">
        <v>104</v>
      </c>
      <c r="B267" s="245" t="s">
        <v>768</v>
      </c>
      <c r="C267" s="245" t="s">
        <v>220</v>
      </c>
      <c r="D267" s="250" t="s">
        <v>399</v>
      </c>
      <c r="E267" s="245" t="s">
        <v>27</v>
      </c>
      <c r="F267" s="247">
        <f>1083507+43804-23412</f>
        <v>1103899</v>
      </c>
    </row>
    <row r="268" spans="1:6" ht="25.5">
      <c r="A268" s="301" t="s">
        <v>482</v>
      </c>
      <c r="B268" s="302" t="s">
        <v>768</v>
      </c>
      <c r="C268" s="302" t="s">
        <v>220</v>
      </c>
      <c r="D268" s="303" t="s">
        <v>399</v>
      </c>
      <c r="E268" s="302" t="s">
        <v>600</v>
      </c>
      <c r="F268" s="304">
        <f>105492+37500+68845</f>
        <v>211837</v>
      </c>
    </row>
    <row r="269" spans="1:6" ht="51">
      <c r="A269" s="253" t="s">
        <v>583</v>
      </c>
      <c r="B269" s="302" t="s">
        <v>768</v>
      </c>
      <c r="C269" s="302" t="s">
        <v>220</v>
      </c>
      <c r="D269" s="254" t="s">
        <v>565</v>
      </c>
      <c r="E269" s="245"/>
      <c r="F269" s="243">
        <f>F270</f>
        <v>7000</v>
      </c>
    </row>
    <row r="270" spans="1:6" ht="25.5">
      <c r="A270" s="31" t="s">
        <v>909</v>
      </c>
      <c r="B270" s="302" t="s">
        <v>768</v>
      </c>
      <c r="C270" s="302" t="s">
        <v>220</v>
      </c>
      <c r="D270" s="254" t="s">
        <v>636</v>
      </c>
      <c r="E270" s="245"/>
      <c r="F270" s="243">
        <f>F271</f>
        <v>7000</v>
      </c>
    </row>
    <row r="271" spans="1:6" ht="12.75">
      <c r="A271" s="28" t="s">
        <v>589</v>
      </c>
      <c r="B271" s="302" t="s">
        <v>768</v>
      </c>
      <c r="C271" s="302" t="s">
        <v>220</v>
      </c>
      <c r="D271" s="250" t="s">
        <v>588</v>
      </c>
      <c r="E271" s="245"/>
      <c r="F271" s="243">
        <f>F272</f>
        <v>7000</v>
      </c>
    </row>
    <row r="272" spans="1:6" ht="12.75">
      <c r="A272" s="244" t="s">
        <v>93</v>
      </c>
      <c r="B272" s="302" t="s">
        <v>768</v>
      </c>
      <c r="C272" s="302" t="s">
        <v>220</v>
      </c>
      <c r="D272" s="250" t="s">
        <v>588</v>
      </c>
      <c r="E272" s="245">
        <v>300</v>
      </c>
      <c r="F272" s="247">
        <v>7000</v>
      </c>
    </row>
    <row r="273" spans="1:6" ht="12.75">
      <c r="A273" s="315" t="s">
        <v>503</v>
      </c>
      <c r="B273" s="316" t="s">
        <v>560</v>
      </c>
      <c r="C273" s="317" t="s">
        <v>912</v>
      </c>
      <c r="D273" s="316" t="s">
        <v>99</v>
      </c>
      <c r="E273" s="316" t="s">
        <v>99</v>
      </c>
      <c r="F273" s="318">
        <f>F274</f>
        <v>27794150</v>
      </c>
    </row>
    <row r="274" spans="1:6" ht="12.75">
      <c r="A274" s="241" t="s">
        <v>572</v>
      </c>
      <c r="B274" s="242" t="s">
        <v>560</v>
      </c>
      <c r="C274" s="242" t="s">
        <v>548</v>
      </c>
      <c r="D274" s="242" t="s">
        <v>99</v>
      </c>
      <c r="E274" s="242" t="s">
        <v>99</v>
      </c>
      <c r="F274" s="243">
        <f>F275</f>
        <v>27794150</v>
      </c>
    </row>
    <row r="275" spans="1:6" ht="25.5">
      <c r="A275" s="252" t="s">
        <v>821</v>
      </c>
      <c r="B275" s="245" t="s">
        <v>560</v>
      </c>
      <c r="C275" s="245" t="s">
        <v>548</v>
      </c>
      <c r="D275" s="250" t="s">
        <v>647</v>
      </c>
      <c r="E275" s="245" t="s">
        <v>99</v>
      </c>
      <c r="F275" s="243">
        <f>F276+F282</f>
        <v>27794150</v>
      </c>
    </row>
    <row r="276" spans="1:6" ht="25.5">
      <c r="A276" s="262" t="s">
        <v>21</v>
      </c>
      <c r="B276" s="245" t="s">
        <v>560</v>
      </c>
      <c r="C276" s="245" t="s">
        <v>548</v>
      </c>
      <c r="D276" s="250" t="s">
        <v>648</v>
      </c>
      <c r="E276" s="246" t="s">
        <v>99</v>
      </c>
      <c r="F276" s="243">
        <f>F277</f>
        <v>4287683</v>
      </c>
    </row>
    <row r="277" spans="1:6" ht="12.75">
      <c r="A277" s="23" t="s">
        <v>624</v>
      </c>
      <c r="B277" s="245" t="s">
        <v>560</v>
      </c>
      <c r="C277" s="245" t="s">
        <v>548</v>
      </c>
      <c r="D277" s="250" t="s">
        <v>649</v>
      </c>
      <c r="E277" s="246"/>
      <c r="F277" s="243">
        <f>F278</f>
        <v>4287683</v>
      </c>
    </row>
    <row r="278" spans="1:6" ht="25.5">
      <c r="A278" s="246" t="s">
        <v>516</v>
      </c>
      <c r="B278" s="245" t="s">
        <v>560</v>
      </c>
      <c r="C278" s="245" t="s">
        <v>548</v>
      </c>
      <c r="D278" s="250" t="s">
        <v>650</v>
      </c>
      <c r="E278" s="245" t="s">
        <v>99</v>
      </c>
      <c r="F278" s="243">
        <f>SUM(F279:F281)</f>
        <v>4287683</v>
      </c>
    </row>
    <row r="279" spans="1:6" ht="51">
      <c r="A279" s="244" t="s">
        <v>104</v>
      </c>
      <c r="B279" s="245" t="s">
        <v>560</v>
      </c>
      <c r="C279" s="245" t="s">
        <v>548</v>
      </c>
      <c r="D279" s="250" t="s">
        <v>650</v>
      </c>
      <c r="E279" s="245">
        <v>100</v>
      </c>
      <c r="F279" s="247">
        <f>3530817+255928+65055+86134+20000</f>
        <v>3957934</v>
      </c>
    </row>
    <row r="280" spans="1:6" ht="25.5">
      <c r="A280" s="244" t="s">
        <v>482</v>
      </c>
      <c r="B280" s="245" t="s">
        <v>560</v>
      </c>
      <c r="C280" s="245" t="s">
        <v>548</v>
      </c>
      <c r="D280" s="250" t="s">
        <v>650</v>
      </c>
      <c r="E280" s="245">
        <v>200</v>
      </c>
      <c r="F280" s="247">
        <f>278793+2000+15000</f>
        <v>295793</v>
      </c>
    </row>
    <row r="281" spans="1:6" ht="12.75">
      <c r="A281" s="244" t="s">
        <v>89</v>
      </c>
      <c r="B281" s="245" t="s">
        <v>560</v>
      </c>
      <c r="C281" s="245" t="s">
        <v>548</v>
      </c>
      <c r="D281" s="250" t="s">
        <v>650</v>
      </c>
      <c r="E281" s="245">
        <v>800</v>
      </c>
      <c r="F281" s="247">
        <v>33956</v>
      </c>
    </row>
    <row r="282" spans="1:6" ht="25.5">
      <c r="A282" s="253" t="s">
        <v>22</v>
      </c>
      <c r="B282" s="245" t="s">
        <v>560</v>
      </c>
      <c r="C282" s="245" t="s">
        <v>548</v>
      </c>
      <c r="D282" s="250" t="s">
        <v>651</v>
      </c>
      <c r="E282" s="246"/>
      <c r="F282" s="243">
        <f>F283</f>
        <v>23506467</v>
      </c>
    </row>
    <row r="283" spans="1:6" ht="38.25">
      <c r="A283" s="23" t="s">
        <v>400</v>
      </c>
      <c r="B283" s="245" t="s">
        <v>560</v>
      </c>
      <c r="C283" s="245" t="s">
        <v>548</v>
      </c>
      <c r="D283" s="250" t="s">
        <v>652</v>
      </c>
      <c r="E283" s="246"/>
      <c r="F283" s="243">
        <f>F284+F287+F289+F290</f>
        <v>23506467</v>
      </c>
    </row>
    <row r="284" spans="1:6" ht="25.5">
      <c r="A284" s="246" t="s">
        <v>516</v>
      </c>
      <c r="B284" s="245" t="s">
        <v>560</v>
      </c>
      <c r="C284" s="245" t="s">
        <v>548</v>
      </c>
      <c r="D284" s="250" t="s">
        <v>653</v>
      </c>
      <c r="E284" s="246"/>
      <c r="F284" s="243">
        <f>F285</f>
        <v>17371017</v>
      </c>
    </row>
    <row r="285" spans="1:6" ht="25.5">
      <c r="A285" s="244" t="s">
        <v>102</v>
      </c>
      <c r="B285" s="245" t="s">
        <v>560</v>
      </c>
      <c r="C285" s="245" t="s">
        <v>548</v>
      </c>
      <c r="D285" s="250" t="s">
        <v>653</v>
      </c>
      <c r="E285" s="246">
        <v>600</v>
      </c>
      <c r="F285" s="247">
        <f>15418650-236408+1476189+224000+423952+64634</f>
        <v>17371017</v>
      </c>
    </row>
    <row r="286" spans="1:6" ht="12.75">
      <c r="A286" s="201" t="s">
        <v>301</v>
      </c>
      <c r="B286" s="245" t="s">
        <v>560</v>
      </c>
      <c r="C286" s="245" t="s">
        <v>548</v>
      </c>
      <c r="D286" s="250" t="s">
        <v>300</v>
      </c>
      <c r="E286" s="246"/>
      <c r="F286" s="247">
        <f>F287</f>
        <v>5095842</v>
      </c>
    </row>
    <row r="287" spans="1:6" ht="25.5">
      <c r="A287" s="244" t="s">
        <v>102</v>
      </c>
      <c r="B287" s="245" t="s">
        <v>560</v>
      </c>
      <c r="C287" s="245" t="s">
        <v>548</v>
      </c>
      <c r="D287" s="250" t="s">
        <v>300</v>
      </c>
      <c r="E287" s="246">
        <v>600</v>
      </c>
      <c r="F287" s="247">
        <v>5095842</v>
      </c>
    </row>
    <row r="288" spans="1:6" ht="25.5">
      <c r="A288" s="201" t="s">
        <v>854</v>
      </c>
      <c r="B288" s="245" t="s">
        <v>560</v>
      </c>
      <c r="C288" s="245" t="s">
        <v>548</v>
      </c>
      <c r="D288" s="250" t="s">
        <v>855</v>
      </c>
      <c r="E288" s="246"/>
      <c r="F288" s="247">
        <v>236408</v>
      </c>
    </row>
    <row r="289" spans="1:6" ht="25.5">
      <c r="A289" s="244" t="s">
        <v>102</v>
      </c>
      <c r="B289" s="245" t="s">
        <v>560</v>
      </c>
      <c r="C289" s="245" t="s">
        <v>548</v>
      </c>
      <c r="D289" s="250" t="s">
        <v>855</v>
      </c>
      <c r="E289" s="246">
        <v>600</v>
      </c>
      <c r="F289" s="247">
        <v>236408</v>
      </c>
    </row>
    <row r="290" spans="1:6" ht="24">
      <c r="A290" s="28" t="s">
        <v>622</v>
      </c>
      <c r="B290" s="272" t="s">
        <v>560</v>
      </c>
      <c r="C290" s="245" t="s">
        <v>548</v>
      </c>
      <c r="D290" s="250" t="s">
        <v>585</v>
      </c>
      <c r="E290" s="246"/>
      <c r="F290" s="243">
        <f>F291</f>
        <v>803200</v>
      </c>
    </row>
    <row r="291" spans="1:7" ht="25.5">
      <c r="A291" s="256" t="s">
        <v>103</v>
      </c>
      <c r="B291" s="279" t="s">
        <v>560</v>
      </c>
      <c r="C291" s="245" t="s">
        <v>548</v>
      </c>
      <c r="D291" s="258" t="s">
        <v>585</v>
      </c>
      <c r="E291" s="280">
        <v>200</v>
      </c>
      <c r="F291" s="261">
        <f>797000+6200</f>
        <v>803200</v>
      </c>
      <c r="G291" s="211" t="s">
        <v>302</v>
      </c>
    </row>
    <row r="292" spans="1:7" ht="12.75" hidden="1">
      <c r="A292" s="253" t="s">
        <v>623</v>
      </c>
      <c r="B292" s="272" t="s">
        <v>560</v>
      </c>
      <c r="C292" s="272" t="s">
        <v>551</v>
      </c>
      <c r="D292" s="250"/>
      <c r="E292" s="246"/>
      <c r="F292" s="243">
        <f>F293</f>
        <v>0</v>
      </c>
      <c r="G292" s="211" t="s">
        <v>299</v>
      </c>
    </row>
    <row r="293" spans="1:6" ht="25.5" hidden="1">
      <c r="A293" s="252" t="s">
        <v>663</v>
      </c>
      <c r="B293" s="272" t="s">
        <v>560</v>
      </c>
      <c r="C293" s="272" t="s">
        <v>551</v>
      </c>
      <c r="D293" s="250" t="s">
        <v>647</v>
      </c>
      <c r="E293" s="246"/>
      <c r="F293" s="243">
        <f>F294</f>
        <v>0</v>
      </c>
    </row>
    <row r="294" spans="1:6" ht="25.5" hidden="1">
      <c r="A294" s="244" t="s">
        <v>22</v>
      </c>
      <c r="B294" s="272" t="s">
        <v>560</v>
      </c>
      <c r="C294" s="272" t="s">
        <v>551</v>
      </c>
      <c r="D294" s="250" t="s">
        <v>651</v>
      </c>
      <c r="E294" s="246"/>
      <c r="F294" s="243">
        <f>F295</f>
        <v>0</v>
      </c>
    </row>
    <row r="295" spans="1:6" ht="38.25" hidden="1">
      <c r="A295" s="23" t="s">
        <v>400</v>
      </c>
      <c r="B295" s="272" t="s">
        <v>560</v>
      </c>
      <c r="C295" s="272" t="s">
        <v>551</v>
      </c>
      <c r="D295" s="250" t="s">
        <v>652</v>
      </c>
      <c r="E295" s="246"/>
      <c r="F295" s="243">
        <f>F296</f>
        <v>0</v>
      </c>
    </row>
    <row r="296" spans="1:6" ht="24" hidden="1">
      <c r="A296" s="28" t="s">
        <v>622</v>
      </c>
      <c r="B296" s="272" t="s">
        <v>560</v>
      </c>
      <c r="C296" s="272" t="s">
        <v>551</v>
      </c>
      <c r="D296" s="250" t="s">
        <v>585</v>
      </c>
      <c r="E296" s="246"/>
      <c r="F296" s="243">
        <f>F297</f>
        <v>0</v>
      </c>
    </row>
    <row r="297" spans="1:6" ht="25.5" hidden="1">
      <c r="A297" s="256" t="s">
        <v>103</v>
      </c>
      <c r="B297" s="279" t="s">
        <v>560</v>
      </c>
      <c r="C297" s="279" t="s">
        <v>551</v>
      </c>
      <c r="D297" s="258" t="s">
        <v>585</v>
      </c>
      <c r="E297" s="280">
        <v>200</v>
      </c>
      <c r="F297" s="261"/>
    </row>
    <row r="298" spans="1:6" ht="12.75">
      <c r="A298" s="281" t="s">
        <v>850</v>
      </c>
      <c r="B298" s="282" t="s">
        <v>220</v>
      </c>
      <c r="C298" s="319" t="s">
        <v>912</v>
      </c>
      <c r="D298" s="283"/>
      <c r="E298" s="284"/>
      <c r="F298" s="240">
        <f>F299</f>
        <v>986911</v>
      </c>
    </row>
    <row r="299" spans="1:6" ht="12.75">
      <c r="A299" s="259" t="s">
        <v>851</v>
      </c>
      <c r="B299" s="276" t="s">
        <v>220</v>
      </c>
      <c r="C299" s="276" t="s">
        <v>768</v>
      </c>
      <c r="D299" s="265"/>
      <c r="E299" s="277"/>
      <c r="F299" s="274">
        <f>F300</f>
        <v>986911</v>
      </c>
    </row>
    <row r="300" spans="1:6" ht="25.5">
      <c r="A300" s="252" t="s">
        <v>391</v>
      </c>
      <c r="B300" s="272" t="s">
        <v>220</v>
      </c>
      <c r="C300" s="272" t="s">
        <v>768</v>
      </c>
      <c r="D300" s="250" t="s">
        <v>820</v>
      </c>
      <c r="E300" s="246"/>
      <c r="F300" s="243">
        <f>F301</f>
        <v>986911</v>
      </c>
    </row>
    <row r="301" spans="1:6" ht="25.5">
      <c r="A301" s="253" t="s">
        <v>392</v>
      </c>
      <c r="B301" s="272" t="s">
        <v>220</v>
      </c>
      <c r="C301" s="272" t="s">
        <v>768</v>
      </c>
      <c r="D301" s="254" t="s">
        <v>822</v>
      </c>
      <c r="E301" s="246"/>
      <c r="F301" s="243">
        <f>F302</f>
        <v>986911</v>
      </c>
    </row>
    <row r="302" spans="1:6" ht="25.5">
      <c r="A302" s="32" t="s">
        <v>213</v>
      </c>
      <c r="B302" s="272" t="s">
        <v>220</v>
      </c>
      <c r="C302" s="272" t="s">
        <v>768</v>
      </c>
      <c r="D302" s="250" t="s">
        <v>853</v>
      </c>
      <c r="E302" s="246"/>
      <c r="F302" s="243">
        <f>F303</f>
        <v>986911</v>
      </c>
    </row>
    <row r="303" spans="1:6" ht="25.5">
      <c r="A303" s="256" t="s">
        <v>103</v>
      </c>
      <c r="B303" s="279" t="s">
        <v>220</v>
      </c>
      <c r="C303" s="279" t="s">
        <v>768</v>
      </c>
      <c r="D303" s="258" t="s">
        <v>853</v>
      </c>
      <c r="E303" s="280">
        <v>200</v>
      </c>
      <c r="F303" s="261">
        <f>657941+328970</f>
        <v>986911</v>
      </c>
    </row>
    <row r="304" spans="1:6" ht="12.75">
      <c r="A304" s="237" t="s">
        <v>573</v>
      </c>
      <c r="B304" s="238" t="s">
        <v>561</v>
      </c>
      <c r="C304" s="239" t="s">
        <v>912</v>
      </c>
      <c r="D304" s="238" t="s">
        <v>99</v>
      </c>
      <c r="E304" s="238" t="s">
        <v>99</v>
      </c>
      <c r="F304" s="273">
        <f>F305+F311+F334+F364</f>
        <v>20406572.87</v>
      </c>
    </row>
    <row r="305" spans="1:6" ht="12.75">
      <c r="A305" s="241" t="s">
        <v>181</v>
      </c>
      <c r="B305" s="271">
        <v>10</v>
      </c>
      <c r="C305" s="320" t="s">
        <v>548</v>
      </c>
      <c r="D305" s="271"/>
      <c r="E305" s="271"/>
      <c r="F305" s="321">
        <f>F306</f>
        <v>10000</v>
      </c>
    </row>
    <row r="306" spans="1:6" ht="25.5">
      <c r="A306" s="252" t="s">
        <v>185</v>
      </c>
      <c r="B306" s="245">
        <v>10</v>
      </c>
      <c r="C306" s="272" t="s">
        <v>548</v>
      </c>
      <c r="D306" s="250" t="s">
        <v>808</v>
      </c>
      <c r="E306" s="271"/>
      <c r="F306" s="243">
        <f>F307</f>
        <v>10000</v>
      </c>
    </row>
    <row r="307" spans="1:6" ht="36.75" customHeight="1">
      <c r="A307" s="253" t="s">
        <v>186</v>
      </c>
      <c r="B307" s="245">
        <v>10</v>
      </c>
      <c r="C307" s="272" t="s">
        <v>548</v>
      </c>
      <c r="D307" s="250" t="s">
        <v>668</v>
      </c>
      <c r="E307" s="271"/>
      <c r="F307" s="243">
        <f>F308</f>
        <v>10000</v>
      </c>
    </row>
    <row r="308" spans="1:6" ht="25.5">
      <c r="A308" s="23" t="s">
        <v>320</v>
      </c>
      <c r="B308" s="245">
        <v>10</v>
      </c>
      <c r="C308" s="272" t="s">
        <v>548</v>
      </c>
      <c r="D308" s="250" t="s">
        <v>182</v>
      </c>
      <c r="E308" s="271"/>
      <c r="F308" s="243">
        <f>F309</f>
        <v>10000</v>
      </c>
    </row>
    <row r="309" spans="1:6" ht="25.5">
      <c r="A309" s="23" t="s">
        <v>184</v>
      </c>
      <c r="B309" s="245">
        <v>10</v>
      </c>
      <c r="C309" s="272" t="s">
        <v>548</v>
      </c>
      <c r="D309" s="250" t="s">
        <v>183</v>
      </c>
      <c r="E309" s="271"/>
      <c r="F309" s="243">
        <f>F310</f>
        <v>10000</v>
      </c>
    </row>
    <row r="310" spans="1:6" ht="12.75">
      <c r="A310" s="244" t="s">
        <v>93</v>
      </c>
      <c r="B310" s="245">
        <v>10</v>
      </c>
      <c r="C310" s="272" t="s">
        <v>548</v>
      </c>
      <c r="D310" s="250" t="s">
        <v>183</v>
      </c>
      <c r="E310" s="245">
        <v>300</v>
      </c>
      <c r="F310" s="247">
        <v>10000</v>
      </c>
    </row>
    <row r="311" spans="1:6" ht="12.75">
      <c r="A311" s="241" t="s">
        <v>574</v>
      </c>
      <c r="B311" s="242" t="s">
        <v>561</v>
      </c>
      <c r="C311" s="242" t="s">
        <v>219</v>
      </c>
      <c r="D311" s="242" t="s">
        <v>99</v>
      </c>
      <c r="E311" s="242" t="s">
        <v>99</v>
      </c>
      <c r="F311" s="274">
        <f>F312+F329</f>
        <v>8553440</v>
      </c>
    </row>
    <row r="312" spans="1:6" ht="25.5">
      <c r="A312" s="252" t="s">
        <v>185</v>
      </c>
      <c r="B312" s="245" t="s">
        <v>561</v>
      </c>
      <c r="C312" s="245" t="s">
        <v>219</v>
      </c>
      <c r="D312" s="250" t="s">
        <v>808</v>
      </c>
      <c r="E312" s="245" t="s">
        <v>99</v>
      </c>
      <c r="F312" s="243">
        <f>F313</f>
        <v>8533440</v>
      </c>
    </row>
    <row r="313" spans="1:6" ht="42.75" customHeight="1">
      <c r="A313" s="253" t="s">
        <v>186</v>
      </c>
      <c r="B313" s="245" t="s">
        <v>561</v>
      </c>
      <c r="C313" s="245" t="s">
        <v>219</v>
      </c>
      <c r="D313" s="254" t="s">
        <v>668</v>
      </c>
      <c r="E313" s="246" t="s">
        <v>99</v>
      </c>
      <c r="F313" s="243">
        <f>F314+F321+F325</f>
        <v>8533440</v>
      </c>
    </row>
    <row r="314" spans="1:6" ht="25.5">
      <c r="A314" s="23" t="s">
        <v>401</v>
      </c>
      <c r="B314" s="245" t="s">
        <v>561</v>
      </c>
      <c r="C314" s="245" t="s">
        <v>219</v>
      </c>
      <c r="D314" s="264" t="s">
        <v>136</v>
      </c>
      <c r="E314" s="245"/>
      <c r="F314" s="243">
        <f>F315+F318</f>
        <v>7994472</v>
      </c>
    </row>
    <row r="315" spans="1:6" ht="12.75">
      <c r="A315" s="246" t="s">
        <v>24</v>
      </c>
      <c r="B315" s="245" t="s">
        <v>561</v>
      </c>
      <c r="C315" s="245" t="s">
        <v>219</v>
      </c>
      <c r="D315" s="250" t="s">
        <v>402</v>
      </c>
      <c r="E315" s="245" t="s">
        <v>99</v>
      </c>
      <c r="F315" s="243">
        <f>SUM(F316:F317)</f>
        <v>7016472</v>
      </c>
    </row>
    <row r="316" spans="1:6" ht="25.5">
      <c r="A316" s="244" t="s">
        <v>482</v>
      </c>
      <c r="B316" s="245" t="s">
        <v>561</v>
      </c>
      <c r="C316" s="245" t="s">
        <v>219</v>
      </c>
      <c r="D316" s="250" t="s">
        <v>402</v>
      </c>
      <c r="E316" s="245">
        <v>200</v>
      </c>
      <c r="F316" s="247">
        <f>110000-2000</f>
        <v>108000</v>
      </c>
    </row>
    <row r="317" spans="1:6" ht="12.75">
      <c r="A317" s="244" t="s">
        <v>93</v>
      </c>
      <c r="B317" s="245" t="s">
        <v>561</v>
      </c>
      <c r="C317" s="245" t="s">
        <v>219</v>
      </c>
      <c r="D317" s="250" t="s">
        <v>402</v>
      </c>
      <c r="E317" s="245">
        <v>300</v>
      </c>
      <c r="F317" s="247">
        <f>6730092-205620+364000+20000</f>
        <v>6908472</v>
      </c>
    </row>
    <row r="318" spans="1:6" ht="12.75">
      <c r="A318" s="246" t="s">
        <v>25</v>
      </c>
      <c r="B318" s="245" t="s">
        <v>561</v>
      </c>
      <c r="C318" s="245" t="s">
        <v>219</v>
      </c>
      <c r="D318" s="250" t="s">
        <v>403</v>
      </c>
      <c r="E318" s="245" t="s">
        <v>99</v>
      </c>
      <c r="F318" s="243">
        <f>SUM(F319:F320)</f>
        <v>978000</v>
      </c>
    </row>
    <row r="319" spans="1:6" ht="25.5">
      <c r="A319" s="244" t="s">
        <v>482</v>
      </c>
      <c r="B319" s="245" t="s">
        <v>561</v>
      </c>
      <c r="C319" s="245" t="s">
        <v>219</v>
      </c>
      <c r="D319" s="250" t="s">
        <v>403</v>
      </c>
      <c r="E319" s="245">
        <v>200</v>
      </c>
      <c r="F319" s="247">
        <f>25000-6000</f>
        <v>19000</v>
      </c>
    </row>
    <row r="320" spans="1:6" ht="12.75">
      <c r="A320" s="244" t="s">
        <v>93</v>
      </c>
      <c r="B320" s="245" t="s">
        <v>561</v>
      </c>
      <c r="C320" s="245" t="s">
        <v>219</v>
      </c>
      <c r="D320" s="250" t="s">
        <v>403</v>
      </c>
      <c r="E320" s="245" t="s">
        <v>92</v>
      </c>
      <c r="F320" s="247">
        <f>1073000-94000-20000</f>
        <v>959000</v>
      </c>
    </row>
    <row r="321" spans="1:6" ht="25.5">
      <c r="A321" s="22" t="s">
        <v>133</v>
      </c>
      <c r="B321" s="242" t="s">
        <v>561</v>
      </c>
      <c r="C321" s="242" t="s">
        <v>219</v>
      </c>
      <c r="D321" s="264" t="s">
        <v>137</v>
      </c>
      <c r="E321" s="242"/>
      <c r="F321" s="243">
        <f>F322</f>
        <v>140297</v>
      </c>
    </row>
    <row r="322" spans="1:6" ht="38.25">
      <c r="A322" s="246" t="s">
        <v>518</v>
      </c>
      <c r="B322" s="245" t="s">
        <v>561</v>
      </c>
      <c r="C322" s="245" t="s">
        <v>219</v>
      </c>
      <c r="D322" s="250" t="s">
        <v>138</v>
      </c>
      <c r="E322" s="245" t="s">
        <v>99</v>
      </c>
      <c r="F322" s="243">
        <f>SUM(F323:F324)</f>
        <v>140297</v>
      </c>
    </row>
    <row r="323" spans="1:6" ht="25.5">
      <c r="A323" s="244" t="s">
        <v>482</v>
      </c>
      <c r="B323" s="245" t="s">
        <v>561</v>
      </c>
      <c r="C323" s="245" t="s">
        <v>219</v>
      </c>
      <c r="D323" s="250" t="s">
        <v>138</v>
      </c>
      <c r="E323" s="245">
        <v>200</v>
      </c>
      <c r="F323" s="243">
        <f>2797-336.02</f>
        <v>2460.98</v>
      </c>
    </row>
    <row r="324" spans="1:6" ht="12.75">
      <c r="A324" s="244" t="s">
        <v>93</v>
      </c>
      <c r="B324" s="245" t="s">
        <v>561</v>
      </c>
      <c r="C324" s="245" t="s">
        <v>219</v>
      </c>
      <c r="D324" s="250" t="s">
        <v>138</v>
      </c>
      <c r="E324" s="245" t="s">
        <v>92</v>
      </c>
      <c r="F324" s="247">
        <f>134000+3500+336.02</f>
        <v>137836.02</v>
      </c>
    </row>
    <row r="325" spans="1:6" ht="38.25">
      <c r="A325" s="27" t="s">
        <v>404</v>
      </c>
      <c r="B325" s="242" t="s">
        <v>561</v>
      </c>
      <c r="C325" s="242" t="s">
        <v>219</v>
      </c>
      <c r="D325" s="254" t="s">
        <v>139</v>
      </c>
      <c r="E325" s="242"/>
      <c r="F325" s="243">
        <f>F326</f>
        <v>398671</v>
      </c>
    </row>
    <row r="326" spans="1:6" ht="38.25">
      <c r="A326" s="246" t="s">
        <v>124</v>
      </c>
      <c r="B326" s="245" t="s">
        <v>561</v>
      </c>
      <c r="C326" s="245" t="s">
        <v>219</v>
      </c>
      <c r="D326" s="250" t="s">
        <v>140</v>
      </c>
      <c r="E326" s="245" t="s">
        <v>99</v>
      </c>
      <c r="F326" s="243">
        <f>SUM(F327:F328)</f>
        <v>398671</v>
      </c>
    </row>
    <row r="327" spans="1:6" ht="25.5">
      <c r="A327" s="244" t="s">
        <v>482</v>
      </c>
      <c r="B327" s="245" t="s">
        <v>561</v>
      </c>
      <c r="C327" s="245" t="s">
        <v>219</v>
      </c>
      <c r="D327" s="250" t="s">
        <v>140</v>
      </c>
      <c r="E327" s="245">
        <v>200</v>
      </c>
      <c r="F327" s="247">
        <v>2500</v>
      </c>
    </row>
    <row r="328" spans="1:6" ht="12.75">
      <c r="A328" s="244" t="s">
        <v>93</v>
      </c>
      <c r="B328" s="245" t="s">
        <v>561</v>
      </c>
      <c r="C328" s="245" t="s">
        <v>219</v>
      </c>
      <c r="D328" s="250" t="s">
        <v>140</v>
      </c>
      <c r="E328" s="245">
        <v>300</v>
      </c>
      <c r="F328" s="247">
        <f>450715-54544</f>
        <v>396171</v>
      </c>
    </row>
    <row r="329" spans="1:6" ht="38.25">
      <c r="A329" s="252" t="s">
        <v>584</v>
      </c>
      <c r="B329" s="245">
        <v>10</v>
      </c>
      <c r="C329" s="245" t="s">
        <v>219</v>
      </c>
      <c r="D329" s="250" t="s">
        <v>564</v>
      </c>
      <c r="E329" s="245"/>
      <c r="F329" s="243">
        <f>F330</f>
        <v>20000</v>
      </c>
    </row>
    <row r="330" spans="1:6" ht="51">
      <c r="A330" s="253" t="s">
        <v>583</v>
      </c>
      <c r="B330" s="245">
        <v>10</v>
      </c>
      <c r="C330" s="245" t="s">
        <v>219</v>
      </c>
      <c r="D330" s="254" t="s">
        <v>565</v>
      </c>
      <c r="E330" s="245"/>
      <c r="F330" s="243">
        <f>F331</f>
        <v>20000</v>
      </c>
    </row>
    <row r="331" spans="1:6" ht="25.5">
      <c r="A331" s="31" t="s">
        <v>909</v>
      </c>
      <c r="B331" s="245">
        <v>10</v>
      </c>
      <c r="C331" s="245" t="s">
        <v>219</v>
      </c>
      <c r="D331" s="254" t="s">
        <v>636</v>
      </c>
      <c r="E331" s="245"/>
      <c r="F331" s="243">
        <f>F332</f>
        <v>20000</v>
      </c>
    </row>
    <row r="332" spans="1:6" ht="12.75">
      <c r="A332" s="28" t="s">
        <v>589</v>
      </c>
      <c r="B332" s="245">
        <v>10</v>
      </c>
      <c r="C332" s="245" t="s">
        <v>219</v>
      </c>
      <c r="D332" s="250" t="s">
        <v>588</v>
      </c>
      <c r="E332" s="245"/>
      <c r="F332" s="243">
        <f>F333</f>
        <v>20000</v>
      </c>
    </row>
    <row r="333" spans="1:6" ht="12.75">
      <c r="A333" s="244" t="s">
        <v>93</v>
      </c>
      <c r="B333" s="245">
        <v>10</v>
      </c>
      <c r="C333" s="245" t="s">
        <v>219</v>
      </c>
      <c r="D333" s="250" t="s">
        <v>588</v>
      </c>
      <c r="E333" s="245">
        <v>300</v>
      </c>
      <c r="F333" s="247">
        <v>20000</v>
      </c>
    </row>
    <row r="334" spans="1:6" ht="12.75">
      <c r="A334" s="241" t="s">
        <v>575</v>
      </c>
      <c r="B334" s="242" t="s">
        <v>561</v>
      </c>
      <c r="C334" s="242" t="s">
        <v>551</v>
      </c>
      <c r="D334" s="242" t="s">
        <v>99</v>
      </c>
      <c r="E334" s="242" t="s">
        <v>99</v>
      </c>
      <c r="F334" s="243">
        <f>F335+F343+F359</f>
        <v>9771132.870000001</v>
      </c>
    </row>
    <row r="335" spans="1:6" ht="25.5">
      <c r="A335" s="252" t="s">
        <v>185</v>
      </c>
      <c r="B335" s="245" t="s">
        <v>561</v>
      </c>
      <c r="C335" s="245" t="s">
        <v>551</v>
      </c>
      <c r="D335" s="250" t="s">
        <v>808</v>
      </c>
      <c r="E335" s="245"/>
      <c r="F335" s="243">
        <f>F336</f>
        <v>5559763</v>
      </c>
    </row>
    <row r="336" spans="1:6" ht="51">
      <c r="A336" s="253" t="s">
        <v>712</v>
      </c>
      <c r="B336" s="245" t="s">
        <v>561</v>
      </c>
      <c r="C336" s="245" t="s">
        <v>551</v>
      </c>
      <c r="D336" s="254" t="s">
        <v>813</v>
      </c>
      <c r="E336" s="246" t="s">
        <v>99</v>
      </c>
      <c r="F336" s="243">
        <f>F337+F340</f>
        <v>5559763</v>
      </c>
    </row>
    <row r="337" spans="1:6" ht="38.25">
      <c r="A337" s="23" t="s">
        <v>77</v>
      </c>
      <c r="B337" s="245" t="s">
        <v>561</v>
      </c>
      <c r="C337" s="245" t="s">
        <v>551</v>
      </c>
      <c r="D337" s="245" t="s">
        <v>134</v>
      </c>
      <c r="E337" s="245"/>
      <c r="F337" s="243">
        <f>F338</f>
        <v>1275422</v>
      </c>
    </row>
    <row r="338" spans="1:6" ht="12.75">
      <c r="A338" s="22" t="s">
        <v>562</v>
      </c>
      <c r="B338" s="245" t="s">
        <v>561</v>
      </c>
      <c r="C338" s="245" t="s">
        <v>551</v>
      </c>
      <c r="D338" s="250" t="s">
        <v>78</v>
      </c>
      <c r="E338" s="245"/>
      <c r="F338" s="243">
        <f>F339</f>
        <v>1275422</v>
      </c>
    </row>
    <row r="339" spans="1:6" ht="12.75">
      <c r="A339" s="244" t="s">
        <v>93</v>
      </c>
      <c r="B339" s="245" t="s">
        <v>561</v>
      </c>
      <c r="C339" s="245" t="s">
        <v>551</v>
      </c>
      <c r="D339" s="250" t="s">
        <v>78</v>
      </c>
      <c r="E339" s="245">
        <v>300</v>
      </c>
      <c r="F339" s="247">
        <f>1199422+76000</f>
        <v>1275422</v>
      </c>
    </row>
    <row r="340" spans="1:6" ht="51">
      <c r="A340" s="23" t="s">
        <v>135</v>
      </c>
      <c r="B340" s="245" t="s">
        <v>561</v>
      </c>
      <c r="C340" s="245" t="s">
        <v>551</v>
      </c>
      <c r="D340" s="254" t="s">
        <v>79</v>
      </c>
      <c r="E340" s="246"/>
      <c r="F340" s="243">
        <f>F341</f>
        <v>4284341</v>
      </c>
    </row>
    <row r="341" spans="1:6" ht="38.25">
      <c r="A341" s="246" t="s">
        <v>26</v>
      </c>
      <c r="B341" s="245" t="s">
        <v>561</v>
      </c>
      <c r="C341" s="245" t="s">
        <v>551</v>
      </c>
      <c r="D341" s="250" t="s">
        <v>80</v>
      </c>
      <c r="E341" s="245" t="s">
        <v>99</v>
      </c>
      <c r="F341" s="243">
        <f>SUM(F342:F342)</f>
        <v>4284341</v>
      </c>
    </row>
    <row r="342" spans="1:6" ht="12.75">
      <c r="A342" s="244" t="s">
        <v>93</v>
      </c>
      <c r="B342" s="245" t="s">
        <v>561</v>
      </c>
      <c r="C342" s="245" t="s">
        <v>551</v>
      </c>
      <c r="D342" s="250" t="s">
        <v>80</v>
      </c>
      <c r="E342" s="245">
        <v>300</v>
      </c>
      <c r="F342" s="247">
        <f>4039316+245025</f>
        <v>4284341</v>
      </c>
    </row>
    <row r="343" spans="1:6" ht="38.25">
      <c r="A343" s="252" t="s">
        <v>58</v>
      </c>
      <c r="B343" s="245">
        <v>10</v>
      </c>
      <c r="C343" s="245" t="s">
        <v>551</v>
      </c>
      <c r="D343" s="250" t="s">
        <v>564</v>
      </c>
      <c r="E343" s="245"/>
      <c r="F343" s="243">
        <f>F344+F348</f>
        <v>4210569.87</v>
      </c>
    </row>
    <row r="344" spans="1:6" ht="51">
      <c r="A344" s="253" t="s">
        <v>810</v>
      </c>
      <c r="B344" s="245">
        <v>10</v>
      </c>
      <c r="C344" s="245" t="s">
        <v>551</v>
      </c>
      <c r="D344" s="250" t="s">
        <v>641</v>
      </c>
      <c r="E344" s="245"/>
      <c r="F344" s="243">
        <v>600</v>
      </c>
    </row>
    <row r="345" spans="1:6" ht="38.25">
      <c r="A345" s="25" t="s">
        <v>661</v>
      </c>
      <c r="B345" s="245">
        <v>10</v>
      </c>
      <c r="C345" s="245" t="s">
        <v>551</v>
      </c>
      <c r="D345" s="250" t="s">
        <v>645</v>
      </c>
      <c r="E345" s="245"/>
      <c r="F345" s="243">
        <v>600</v>
      </c>
    </row>
    <row r="346" spans="1:6" ht="25.5">
      <c r="A346" s="246" t="s">
        <v>126</v>
      </c>
      <c r="B346" s="245">
        <v>10</v>
      </c>
      <c r="C346" s="245" t="s">
        <v>551</v>
      </c>
      <c r="D346" s="250" t="s">
        <v>646</v>
      </c>
      <c r="E346" s="245" t="s">
        <v>99</v>
      </c>
      <c r="F346" s="243">
        <v>600</v>
      </c>
    </row>
    <row r="347" spans="1:6" ht="51">
      <c r="A347" s="244" t="s">
        <v>104</v>
      </c>
      <c r="B347" s="245">
        <v>10</v>
      </c>
      <c r="C347" s="245" t="s">
        <v>551</v>
      </c>
      <c r="D347" s="250" t="s">
        <v>646</v>
      </c>
      <c r="E347" s="245" t="s">
        <v>27</v>
      </c>
      <c r="F347" s="243">
        <v>600</v>
      </c>
    </row>
    <row r="348" spans="1:6" ht="38.25">
      <c r="A348" s="253" t="s">
        <v>59</v>
      </c>
      <c r="B348" s="245">
        <v>10</v>
      </c>
      <c r="C348" s="245" t="s">
        <v>551</v>
      </c>
      <c r="D348" s="254" t="s">
        <v>565</v>
      </c>
      <c r="E348" s="245"/>
      <c r="F348" s="243">
        <f>F349+F352+F356</f>
        <v>4209969.87</v>
      </c>
    </row>
    <row r="349" spans="1:6" ht="25.5">
      <c r="A349" s="22" t="s">
        <v>906</v>
      </c>
      <c r="B349" s="245">
        <v>10</v>
      </c>
      <c r="C349" s="245" t="s">
        <v>551</v>
      </c>
      <c r="D349" s="250" t="s">
        <v>566</v>
      </c>
      <c r="E349" s="245"/>
      <c r="F349" s="243">
        <v>1564</v>
      </c>
    </row>
    <row r="350" spans="1:6" ht="25.5">
      <c r="A350" s="246" t="s">
        <v>126</v>
      </c>
      <c r="B350" s="245">
        <v>10</v>
      </c>
      <c r="C350" s="245" t="s">
        <v>551</v>
      </c>
      <c r="D350" s="250" t="s">
        <v>632</v>
      </c>
      <c r="E350" s="245"/>
      <c r="F350" s="243">
        <f>904+660</f>
        <v>1564</v>
      </c>
    </row>
    <row r="351" spans="1:6" ht="51">
      <c r="A351" s="244" t="s">
        <v>104</v>
      </c>
      <c r="B351" s="245">
        <v>10</v>
      </c>
      <c r="C351" s="245" t="s">
        <v>551</v>
      </c>
      <c r="D351" s="250" t="s">
        <v>632</v>
      </c>
      <c r="E351" s="245">
        <v>100</v>
      </c>
      <c r="F351" s="243">
        <f>904+660</f>
        <v>1564</v>
      </c>
    </row>
    <row r="352" spans="1:6" ht="25.5">
      <c r="A352" s="24" t="s">
        <v>907</v>
      </c>
      <c r="B352" s="245">
        <v>10</v>
      </c>
      <c r="C352" s="245" t="s">
        <v>551</v>
      </c>
      <c r="D352" s="254" t="s">
        <v>141</v>
      </c>
      <c r="E352" s="245"/>
      <c r="F352" s="243">
        <f>F353</f>
        <v>4207872</v>
      </c>
    </row>
    <row r="353" spans="1:6" ht="12.75">
      <c r="A353" s="244" t="s">
        <v>658</v>
      </c>
      <c r="B353" s="245">
        <v>10</v>
      </c>
      <c r="C353" s="245" t="s">
        <v>551</v>
      </c>
      <c r="D353" s="250" t="s">
        <v>413</v>
      </c>
      <c r="E353" s="245"/>
      <c r="F353" s="243">
        <f>SUM(F354:F355)</f>
        <v>4207872</v>
      </c>
    </row>
    <row r="354" spans="1:6" ht="25.5">
      <c r="A354" s="244" t="s">
        <v>482</v>
      </c>
      <c r="B354" s="245">
        <v>10</v>
      </c>
      <c r="C354" s="245" t="s">
        <v>551</v>
      </c>
      <c r="D354" s="250" t="s">
        <v>413</v>
      </c>
      <c r="E354" s="245">
        <v>200</v>
      </c>
      <c r="F354" s="247">
        <f>15570+1160</f>
        <v>16730</v>
      </c>
    </row>
    <row r="355" spans="1:6" ht="12.75">
      <c r="A355" s="244" t="s">
        <v>93</v>
      </c>
      <c r="B355" s="245">
        <v>10</v>
      </c>
      <c r="C355" s="245" t="s">
        <v>551</v>
      </c>
      <c r="D355" s="250" t="s">
        <v>413</v>
      </c>
      <c r="E355" s="245">
        <v>300</v>
      </c>
      <c r="F355" s="247">
        <f>3892302+298840</f>
        <v>4191142</v>
      </c>
    </row>
    <row r="356" spans="1:6" ht="25.5">
      <c r="A356" s="22" t="s">
        <v>908</v>
      </c>
      <c r="B356" s="245">
        <v>10</v>
      </c>
      <c r="C356" s="245" t="s">
        <v>551</v>
      </c>
      <c r="D356" s="265" t="s">
        <v>633</v>
      </c>
      <c r="E356" s="245"/>
      <c r="F356" s="247">
        <v>533.87</v>
      </c>
    </row>
    <row r="357" spans="1:6" ht="25.5">
      <c r="A357" s="246" t="s">
        <v>126</v>
      </c>
      <c r="B357" s="245">
        <v>10</v>
      </c>
      <c r="C357" s="245" t="s">
        <v>551</v>
      </c>
      <c r="D357" s="250" t="s">
        <v>635</v>
      </c>
      <c r="E357" s="245"/>
      <c r="F357" s="247">
        <v>533.87</v>
      </c>
    </row>
    <row r="358" spans="1:6" ht="25.5">
      <c r="A358" s="244" t="s">
        <v>102</v>
      </c>
      <c r="B358" s="245">
        <v>10</v>
      </c>
      <c r="C358" s="245" t="s">
        <v>551</v>
      </c>
      <c r="D358" s="250" t="s">
        <v>635</v>
      </c>
      <c r="E358" s="245">
        <v>600</v>
      </c>
      <c r="F358" s="247">
        <v>533.87</v>
      </c>
    </row>
    <row r="359" spans="1:6" ht="51">
      <c r="A359" s="252" t="s">
        <v>57</v>
      </c>
      <c r="B359" s="245">
        <v>10</v>
      </c>
      <c r="C359" s="245" t="s">
        <v>551</v>
      </c>
      <c r="D359" s="250" t="s">
        <v>825</v>
      </c>
      <c r="E359" s="245" t="s">
        <v>99</v>
      </c>
      <c r="F359" s="247">
        <v>800</v>
      </c>
    </row>
    <row r="360" spans="1:6" ht="77.25" customHeight="1">
      <c r="A360" s="29" t="s">
        <v>455</v>
      </c>
      <c r="B360" s="245">
        <v>10</v>
      </c>
      <c r="C360" s="245" t="s">
        <v>551</v>
      </c>
      <c r="D360" s="250" t="s">
        <v>826</v>
      </c>
      <c r="E360" s="245"/>
      <c r="F360" s="247">
        <v>800</v>
      </c>
    </row>
    <row r="361" spans="1:6" ht="63.75">
      <c r="A361" s="22" t="s">
        <v>429</v>
      </c>
      <c r="B361" s="245">
        <v>10</v>
      </c>
      <c r="C361" s="245" t="s">
        <v>551</v>
      </c>
      <c r="D361" s="250" t="s">
        <v>831</v>
      </c>
      <c r="E361" s="245"/>
      <c r="F361" s="247">
        <v>800</v>
      </c>
    </row>
    <row r="362" spans="1:6" ht="25.5">
      <c r="A362" s="246" t="s">
        <v>126</v>
      </c>
      <c r="B362" s="245">
        <v>10</v>
      </c>
      <c r="C362" s="245" t="s">
        <v>551</v>
      </c>
      <c r="D362" s="250" t="s">
        <v>832</v>
      </c>
      <c r="E362" s="245" t="s">
        <v>99</v>
      </c>
      <c r="F362" s="247">
        <v>800</v>
      </c>
    </row>
    <row r="363" spans="1:6" ht="51">
      <c r="A363" s="244" t="s">
        <v>104</v>
      </c>
      <c r="B363" s="245">
        <v>10</v>
      </c>
      <c r="C363" s="245" t="s">
        <v>551</v>
      </c>
      <c r="D363" s="250" t="s">
        <v>832</v>
      </c>
      <c r="E363" s="245">
        <v>100</v>
      </c>
      <c r="F363" s="247">
        <v>800</v>
      </c>
    </row>
    <row r="364" spans="1:6" ht="12.75">
      <c r="A364" s="241" t="s">
        <v>741</v>
      </c>
      <c r="B364" s="242" t="s">
        <v>561</v>
      </c>
      <c r="C364" s="242" t="s">
        <v>552</v>
      </c>
      <c r="D364" s="242" t="s">
        <v>99</v>
      </c>
      <c r="E364" s="242" t="s">
        <v>99</v>
      </c>
      <c r="F364" s="243">
        <f>F365</f>
        <v>2072000</v>
      </c>
    </row>
    <row r="365" spans="1:6" ht="25.5">
      <c r="A365" s="252" t="s">
        <v>185</v>
      </c>
      <c r="B365" s="245" t="s">
        <v>561</v>
      </c>
      <c r="C365" s="245" t="s">
        <v>552</v>
      </c>
      <c r="D365" s="250" t="s">
        <v>808</v>
      </c>
      <c r="E365" s="245" t="s">
        <v>99</v>
      </c>
      <c r="F365" s="243">
        <f>F366</f>
        <v>2072000</v>
      </c>
    </row>
    <row r="366" spans="1:6" ht="51">
      <c r="A366" s="253" t="s">
        <v>261</v>
      </c>
      <c r="B366" s="245" t="s">
        <v>561</v>
      </c>
      <c r="C366" s="245" t="s">
        <v>552</v>
      </c>
      <c r="D366" s="254" t="s">
        <v>812</v>
      </c>
      <c r="E366" s="246" t="s">
        <v>99</v>
      </c>
      <c r="F366" s="243">
        <f>F367</f>
        <v>2072000</v>
      </c>
    </row>
    <row r="367" spans="1:6" ht="51">
      <c r="A367" s="24" t="s">
        <v>81</v>
      </c>
      <c r="B367" s="245" t="s">
        <v>561</v>
      </c>
      <c r="C367" s="245" t="s">
        <v>552</v>
      </c>
      <c r="D367" s="254" t="s">
        <v>82</v>
      </c>
      <c r="E367" s="246"/>
      <c r="F367" s="243">
        <f>F368</f>
        <v>2072000</v>
      </c>
    </row>
    <row r="368" spans="1:6" ht="25.5">
      <c r="A368" s="246" t="s">
        <v>271</v>
      </c>
      <c r="B368" s="245" t="s">
        <v>561</v>
      </c>
      <c r="C368" s="245" t="s">
        <v>552</v>
      </c>
      <c r="D368" s="254" t="s">
        <v>83</v>
      </c>
      <c r="E368" s="245" t="s">
        <v>99</v>
      </c>
      <c r="F368" s="243">
        <f>SUM(F369:F370)</f>
        <v>2072000</v>
      </c>
    </row>
    <row r="369" spans="1:6" ht="51">
      <c r="A369" s="244" t="s">
        <v>104</v>
      </c>
      <c r="B369" s="245" t="s">
        <v>561</v>
      </c>
      <c r="C369" s="245" t="s">
        <v>552</v>
      </c>
      <c r="D369" s="254" t="s">
        <v>83</v>
      </c>
      <c r="E369" s="245">
        <v>100</v>
      </c>
      <c r="F369" s="247">
        <f>1905000+21000-11917.52</f>
        <v>1914082.48</v>
      </c>
    </row>
    <row r="370" spans="1:6" ht="25.5">
      <c r="A370" s="244" t="s">
        <v>482</v>
      </c>
      <c r="B370" s="245" t="s">
        <v>561</v>
      </c>
      <c r="C370" s="245" t="s">
        <v>552</v>
      </c>
      <c r="D370" s="254" t="s">
        <v>83</v>
      </c>
      <c r="E370" s="246">
        <v>200</v>
      </c>
      <c r="F370" s="247">
        <f>139900+5600+12417.52</f>
        <v>157917.52</v>
      </c>
    </row>
    <row r="371" spans="1:6" ht="12.75">
      <c r="A371" s="237" t="s">
        <v>412</v>
      </c>
      <c r="B371" s="238" t="s">
        <v>554</v>
      </c>
      <c r="C371" s="239" t="s">
        <v>912</v>
      </c>
      <c r="D371" s="238" t="s">
        <v>99</v>
      </c>
      <c r="E371" s="238" t="s">
        <v>99</v>
      </c>
      <c r="F371" s="286">
        <f aca="true" t="shared" si="0" ref="F371:F376">F372</f>
        <v>75000</v>
      </c>
    </row>
    <row r="372" spans="1:6" ht="12.75">
      <c r="A372" s="241" t="s">
        <v>314</v>
      </c>
      <c r="B372" s="242" t="s">
        <v>554</v>
      </c>
      <c r="C372" s="242" t="s">
        <v>550</v>
      </c>
      <c r="D372" s="242" t="s">
        <v>99</v>
      </c>
      <c r="E372" s="242" t="s">
        <v>99</v>
      </c>
      <c r="F372" s="243">
        <f t="shared" si="0"/>
        <v>75000</v>
      </c>
    </row>
    <row r="373" spans="1:6" ht="51">
      <c r="A373" s="252" t="s">
        <v>313</v>
      </c>
      <c r="B373" s="245" t="s">
        <v>554</v>
      </c>
      <c r="C373" s="245" t="s">
        <v>550</v>
      </c>
      <c r="D373" s="250" t="s">
        <v>312</v>
      </c>
      <c r="E373" s="248" t="s">
        <v>99</v>
      </c>
      <c r="F373" s="243">
        <f t="shared" si="0"/>
        <v>75000</v>
      </c>
    </row>
    <row r="374" spans="1:6" ht="63.75">
      <c r="A374" s="253" t="s">
        <v>311</v>
      </c>
      <c r="B374" s="245" t="s">
        <v>554</v>
      </c>
      <c r="C374" s="245" t="s">
        <v>550</v>
      </c>
      <c r="D374" s="250" t="s">
        <v>418</v>
      </c>
      <c r="E374" s="255" t="s">
        <v>99</v>
      </c>
      <c r="F374" s="243">
        <f t="shared" si="0"/>
        <v>75000</v>
      </c>
    </row>
    <row r="375" spans="1:6" ht="63.75">
      <c r="A375" s="25" t="s">
        <v>417</v>
      </c>
      <c r="B375" s="245" t="s">
        <v>554</v>
      </c>
      <c r="C375" s="245" t="s">
        <v>550</v>
      </c>
      <c r="D375" s="250" t="s">
        <v>416</v>
      </c>
      <c r="E375" s="255"/>
      <c r="F375" s="243">
        <f t="shared" si="0"/>
        <v>75000</v>
      </c>
    </row>
    <row r="376" spans="1:6" ht="51">
      <c r="A376" s="25" t="s">
        <v>415</v>
      </c>
      <c r="B376" s="245" t="s">
        <v>554</v>
      </c>
      <c r="C376" s="245" t="s">
        <v>550</v>
      </c>
      <c r="D376" s="250" t="s">
        <v>414</v>
      </c>
      <c r="E376" s="255"/>
      <c r="F376" s="243">
        <f t="shared" si="0"/>
        <v>75000</v>
      </c>
    </row>
    <row r="377" spans="1:6" ht="25.5">
      <c r="A377" s="256" t="s">
        <v>482</v>
      </c>
      <c r="B377" s="257" t="s">
        <v>554</v>
      </c>
      <c r="C377" s="257" t="s">
        <v>550</v>
      </c>
      <c r="D377" s="258" t="s">
        <v>414</v>
      </c>
      <c r="E377" s="280">
        <v>200</v>
      </c>
      <c r="F377" s="261">
        <v>75000</v>
      </c>
    </row>
    <row r="378" spans="1:6" ht="25.5">
      <c r="A378" s="237" t="s">
        <v>601</v>
      </c>
      <c r="B378" s="238" t="s">
        <v>218</v>
      </c>
      <c r="C378" s="239" t="s">
        <v>912</v>
      </c>
      <c r="D378" s="238" t="s">
        <v>99</v>
      </c>
      <c r="E378" s="238" t="s">
        <v>99</v>
      </c>
      <c r="F378" s="322">
        <f aca="true" t="shared" si="1" ref="F378:F383">F379</f>
        <v>44000</v>
      </c>
    </row>
    <row r="379" spans="1:6" ht="26.25" customHeight="1">
      <c r="A379" s="241" t="s">
        <v>602</v>
      </c>
      <c r="B379" s="242" t="s">
        <v>218</v>
      </c>
      <c r="C379" s="242" t="s">
        <v>548</v>
      </c>
      <c r="D379" s="260" t="s">
        <v>99</v>
      </c>
      <c r="E379" s="260" t="s">
        <v>99</v>
      </c>
      <c r="F379" s="243">
        <f t="shared" si="1"/>
        <v>44000</v>
      </c>
    </row>
    <row r="380" spans="1:6" ht="25.5">
      <c r="A380" s="252" t="s">
        <v>711</v>
      </c>
      <c r="B380" s="245" t="s">
        <v>218</v>
      </c>
      <c r="C380" s="245" t="s">
        <v>548</v>
      </c>
      <c r="D380" s="250" t="s">
        <v>440</v>
      </c>
      <c r="E380" s="248" t="s">
        <v>99</v>
      </c>
      <c r="F380" s="243">
        <f t="shared" si="1"/>
        <v>44000</v>
      </c>
    </row>
    <row r="381" spans="1:6" ht="38.25">
      <c r="A381" s="253" t="s">
        <v>272</v>
      </c>
      <c r="B381" s="245" t="s">
        <v>218</v>
      </c>
      <c r="C381" s="245" t="s">
        <v>548</v>
      </c>
      <c r="D381" s="250" t="s">
        <v>670</v>
      </c>
      <c r="E381" s="255" t="s">
        <v>99</v>
      </c>
      <c r="F381" s="243">
        <f t="shared" si="1"/>
        <v>44000</v>
      </c>
    </row>
    <row r="382" spans="1:6" ht="51">
      <c r="A382" s="22" t="s">
        <v>669</v>
      </c>
      <c r="B382" s="245" t="s">
        <v>218</v>
      </c>
      <c r="C382" s="245" t="s">
        <v>548</v>
      </c>
      <c r="D382" s="250" t="s">
        <v>671</v>
      </c>
      <c r="E382" s="255"/>
      <c r="F382" s="243">
        <f t="shared" si="1"/>
        <v>44000</v>
      </c>
    </row>
    <row r="383" spans="1:6" ht="12.75">
      <c r="A383" s="25" t="s">
        <v>672</v>
      </c>
      <c r="B383" s="245" t="s">
        <v>218</v>
      </c>
      <c r="C383" s="245" t="s">
        <v>548</v>
      </c>
      <c r="D383" s="250" t="s">
        <v>673</v>
      </c>
      <c r="E383" s="248" t="s">
        <v>99</v>
      </c>
      <c r="F383" s="243">
        <f t="shared" si="1"/>
        <v>44000</v>
      </c>
    </row>
    <row r="384" spans="1:6" ht="12.75">
      <c r="A384" s="256" t="s">
        <v>125</v>
      </c>
      <c r="B384" s="257" t="s">
        <v>218</v>
      </c>
      <c r="C384" s="257" t="s">
        <v>548</v>
      </c>
      <c r="D384" s="258" t="s">
        <v>673</v>
      </c>
      <c r="E384" s="257" t="s">
        <v>94</v>
      </c>
      <c r="F384" s="261">
        <f>57000-13000</f>
        <v>44000</v>
      </c>
    </row>
  </sheetData>
  <sheetProtection/>
  <mergeCells count="1">
    <mergeCell ref="B3:F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309"/>
  <sheetViews>
    <sheetView showGridLines="0" zoomScaleSheetLayoutView="100" workbookViewId="0" topLeftCell="A1">
      <selection activeCell="D313" sqref="D313"/>
    </sheetView>
  </sheetViews>
  <sheetFormatPr defaultColWidth="9.140625" defaultRowHeight="12.75"/>
  <cols>
    <col min="1" max="1" width="45.00390625" style="410" customWidth="1"/>
    <col min="2" max="2" width="3.8515625" style="410" customWidth="1"/>
    <col min="3" max="3" width="4.57421875" style="410" customWidth="1"/>
    <col min="4" max="4" width="13.28125" style="410" customWidth="1"/>
    <col min="5" max="5" width="4.57421875" style="410" customWidth="1"/>
    <col min="6" max="6" width="14.140625" style="414" customWidth="1"/>
    <col min="7" max="7" width="14.140625" style="410" customWidth="1"/>
    <col min="8" max="8" width="13.421875" style="410" bestFit="1" customWidth="1"/>
    <col min="9" max="10" width="13.8515625" style="410" bestFit="1" customWidth="1"/>
    <col min="11" max="16384" width="9.140625" style="410" customWidth="1"/>
  </cols>
  <sheetData>
    <row r="1" spans="1:7" ht="12.75">
      <c r="A1" s="407"/>
      <c r="B1" s="408"/>
      <c r="C1" s="408"/>
      <c r="D1" s="408"/>
      <c r="E1" s="408"/>
      <c r="F1" s="409"/>
      <c r="G1" s="409" t="s">
        <v>322</v>
      </c>
    </row>
    <row r="2" spans="1:7" ht="12.75">
      <c r="A2" s="407"/>
      <c r="B2" s="408"/>
      <c r="C2" s="408"/>
      <c r="D2" s="408"/>
      <c r="E2" s="408"/>
      <c r="F2" s="66"/>
      <c r="G2" s="66" t="s">
        <v>519</v>
      </c>
    </row>
    <row r="3" spans="1:11" ht="12.75">
      <c r="A3" s="643"/>
      <c r="B3" s="616"/>
      <c r="C3" s="616"/>
      <c r="D3" s="616"/>
      <c r="E3" s="616"/>
      <c r="F3" s="643" t="s">
        <v>351</v>
      </c>
      <c r="G3" s="616"/>
      <c r="H3" s="616"/>
      <c r="I3" s="616"/>
      <c r="J3" s="616"/>
      <c r="K3" s="398"/>
    </row>
    <row r="4" spans="1:7" ht="38.25">
      <c r="A4" s="411" t="s">
        <v>258</v>
      </c>
      <c r="B4" s="411"/>
      <c r="C4" s="411"/>
      <c r="D4" s="411"/>
      <c r="E4" s="411"/>
      <c r="F4" s="411"/>
      <c r="G4" s="411"/>
    </row>
    <row r="5" spans="1:10" ht="12.75">
      <c r="A5" s="412"/>
      <c r="B5" s="412"/>
      <c r="C5" s="412"/>
      <c r="D5" s="412"/>
      <c r="E5" s="412"/>
      <c r="F5" s="413"/>
      <c r="G5" s="413" t="s">
        <v>100</v>
      </c>
      <c r="I5" s="414"/>
      <c r="J5" s="414"/>
    </row>
    <row r="6" spans="1:10" ht="12.75">
      <c r="A6" s="415" t="s">
        <v>96</v>
      </c>
      <c r="B6" s="415" t="s">
        <v>541</v>
      </c>
      <c r="C6" s="415" t="s">
        <v>542</v>
      </c>
      <c r="D6" s="415" t="s">
        <v>543</v>
      </c>
      <c r="E6" s="415" t="s">
        <v>544</v>
      </c>
      <c r="F6" s="416" t="s">
        <v>337</v>
      </c>
      <c r="G6" s="416" t="s">
        <v>257</v>
      </c>
      <c r="I6" s="414"/>
      <c r="J6" s="414"/>
    </row>
    <row r="7" spans="1:10" ht="12.75">
      <c r="A7" s="417" t="s">
        <v>598</v>
      </c>
      <c r="B7" s="417" t="s">
        <v>97</v>
      </c>
      <c r="C7" s="417" t="s">
        <v>599</v>
      </c>
      <c r="D7" s="417" t="s">
        <v>545</v>
      </c>
      <c r="E7" s="417" t="s">
        <v>546</v>
      </c>
      <c r="F7" s="417" t="s">
        <v>547</v>
      </c>
      <c r="G7" s="418" t="s">
        <v>12</v>
      </c>
      <c r="H7" s="414"/>
      <c r="I7" s="414"/>
      <c r="J7" s="414"/>
    </row>
    <row r="8" spans="1:10" ht="12.75">
      <c r="A8" s="419" t="s">
        <v>101</v>
      </c>
      <c r="B8" s="420" t="s">
        <v>99</v>
      </c>
      <c r="C8" s="420" t="s">
        <v>99</v>
      </c>
      <c r="D8" s="420" t="s">
        <v>99</v>
      </c>
      <c r="E8" s="420" t="s">
        <v>99</v>
      </c>
      <c r="F8" s="421">
        <f>F9+F85+F91+F100+F125+F158+F222+F241+F247+F295+F302+F309</f>
        <v>244505984</v>
      </c>
      <c r="G8" s="421">
        <f>G9+G85+G91+G100+G125+G158+G222+G241+G247+G295+G302+G309</f>
        <v>241409166</v>
      </c>
      <c r="I8" s="414"/>
      <c r="J8" s="414"/>
    </row>
    <row r="9" spans="1:10" ht="12.75">
      <c r="A9" s="422" t="s">
        <v>28</v>
      </c>
      <c r="B9" s="423" t="s">
        <v>548</v>
      </c>
      <c r="C9" s="424" t="s">
        <v>912</v>
      </c>
      <c r="D9" s="423" t="s">
        <v>99</v>
      </c>
      <c r="E9" s="423" t="s">
        <v>99</v>
      </c>
      <c r="F9" s="425">
        <f>F10+F15+F25+F42+F47</f>
        <v>24839127</v>
      </c>
      <c r="G9" s="425">
        <f>G10+G15+G25+G42+G47</f>
        <v>24126863</v>
      </c>
      <c r="I9" s="426"/>
      <c r="J9" s="426"/>
    </row>
    <row r="10" spans="1:10" ht="38.25">
      <c r="A10" s="427" t="s">
        <v>549</v>
      </c>
      <c r="B10" s="428" t="s">
        <v>548</v>
      </c>
      <c r="C10" s="428" t="s">
        <v>550</v>
      </c>
      <c r="D10" s="428" t="s">
        <v>99</v>
      </c>
      <c r="E10" s="428" t="s">
        <v>99</v>
      </c>
      <c r="F10" s="429">
        <f aca="true" t="shared" si="0" ref="F10:G13">F11</f>
        <v>944604</v>
      </c>
      <c r="G10" s="429">
        <f t="shared" si="0"/>
        <v>913684</v>
      </c>
      <c r="I10" s="426"/>
      <c r="J10" s="426"/>
    </row>
    <row r="11" spans="1:10" ht="25.5">
      <c r="A11" s="430" t="s">
        <v>17</v>
      </c>
      <c r="B11" s="431" t="s">
        <v>548</v>
      </c>
      <c r="C11" s="431" t="s">
        <v>550</v>
      </c>
      <c r="D11" s="431" t="s">
        <v>433</v>
      </c>
      <c r="E11" s="431" t="s">
        <v>99</v>
      </c>
      <c r="F11" s="429">
        <f t="shared" si="0"/>
        <v>944604</v>
      </c>
      <c r="G11" s="429">
        <f t="shared" si="0"/>
        <v>913684</v>
      </c>
      <c r="I11" s="426"/>
      <c r="J11" s="426"/>
    </row>
    <row r="12" spans="1:10" ht="12.75">
      <c r="A12" s="430" t="s">
        <v>228</v>
      </c>
      <c r="B12" s="431" t="s">
        <v>548</v>
      </c>
      <c r="C12" s="431" t="s">
        <v>550</v>
      </c>
      <c r="D12" s="431" t="s">
        <v>434</v>
      </c>
      <c r="E12" s="432" t="s">
        <v>99</v>
      </c>
      <c r="F12" s="429">
        <f t="shared" si="0"/>
        <v>944604</v>
      </c>
      <c r="G12" s="429">
        <f t="shared" si="0"/>
        <v>913684</v>
      </c>
      <c r="I12" s="426"/>
      <c r="J12" s="426"/>
    </row>
    <row r="13" spans="1:10" ht="25.5">
      <c r="A13" s="432" t="s">
        <v>514</v>
      </c>
      <c r="B13" s="431" t="s">
        <v>548</v>
      </c>
      <c r="C13" s="431" t="s">
        <v>550</v>
      </c>
      <c r="D13" s="431" t="s">
        <v>435</v>
      </c>
      <c r="E13" s="431" t="s">
        <v>99</v>
      </c>
      <c r="F13" s="429">
        <f t="shared" si="0"/>
        <v>944604</v>
      </c>
      <c r="G13" s="429">
        <f t="shared" si="0"/>
        <v>913684</v>
      </c>
      <c r="I13" s="426"/>
      <c r="J13" s="426"/>
    </row>
    <row r="14" spans="1:10" ht="63.75">
      <c r="A14" s="430" t="s">
        <v>104</v>
      </c>
      <c r="B14" s="431" t="s">
        <v>548</v>
      </c>
      <c r="C14" s="431" t="s">
        <v>550</v>
      </c>
      <c r="D14" s="431" t="s">
        <v>435</v>
      </c>
      <c r="E14" s="431" t="s">
        <v>27</v>
      </c>
      <c r="F14" s="433">
        <f>913684+30920</f>
        <v>944604</v>
      </c>
      <c r="G14" s="433">
        <v>913684</v>
      </c>
      <c r="I14" s="426"/>
      <c r="J14" s="426"/>
    </row>
    <row r="15" spans="1:10" ht="63.75">
      <c r="A15" s="427" t="s">
        <v>502</v>
      </c>
      <c r="B15" s="428" t="s">
        <v>548</v>
      </c>
      <c r="C15" s="428" t="s">
        <v>551</v>
      </c>
      <c r="D15" s="428" t="s">
        <v>99</v>
      </c>
      <c r="E15" s="428" t="s">
        <v>99</v>
      </c>
      <c r="F15" s="429">
        <f>F16</f>
        <v>7828780</v>
      </c>
      <c r="G15" s="429">
        <f>G16</f>
        <v>7599647</v>
      </c>
      <c r="I15" s="426"/>
      <c r="J15" s="426"/>
    </row>
    <row r="16" spans="1:10" ht="25.5">
      <c r="A16" s="430" t="s">
        <v>467</v>
      </c>
      <c r="B16" s="431" t="s">
        <v>548</v>
      </c>
      <c r="C16" s="431" t="s">
        <v>551</v>
      </c>
      <c r="D16" s="431" t="s">
        <v>436</v>
      </c>
      <c r="E16" s="431" t="s">
        <v>99</v>
      </c>
      <c r="F16" s="429">
        <f>F17</f>
        <v>7828780</v>
      </c>
      <c r="G16" s="429">
        <f>G17</f>
        <v>7599647</v>
      </c>
      <c r="I16" s="426"/>
      <c r="J16" s="426"/>
    </row>
    <row r="17" spans="1:10" ht="25.5">
      <c r="A17" s="430" t="s">
        <v>473</v>
      </c>
      <c r="B17" s="431" t="s">
        <v>548</v>
      </c>
      <c r="C17" s="431" t="s">
        <v>551</v>
      </c>
      <c r="D17" s="431" t="s">
        <v>437</v>
      </c>
      <c r="E17" s="432" t="s">
        <v>99</v>
      </c>
      <c r="F17" s="429">
        <f>F18+F21</f>
        <v>7828780</v>
      </c>
      <c r="G17" s="429">
        <f>G18+G21</f>
        <v>7599647</v>
      </c>
      <c r="I17" s="426"/>
      <c r="J17" s="426"/>
    </row>
    <row r="18" spans="1:10" ht="38.25">
      <c r="A18" s="430" t="s">
        <v>610</v>
      </c>
      <c r="B18" s="431" t="s">
        <v>548</v>
      </c>
      <c r="C18" s="431" t="s">
        <v>551</v>
      </c>
      <c r="D18" s="431" t="s">
        <v>438</v>
      </c>
      <c r="E18" s="432"/>
      <c r="F18" s="429">
        <f>SUM(F19:F20)</f>
        <v>296000</v>
      </c>
      <c r="G18" s="429">
        <f>SUM(G19:G20)</f>
        <v>296000</v>
      </c>
      <c r="I18" s="426"/>
      <c r="J18" s="426"/>
    </row>
    <row r="19" spans="1:10" ht="63.75">
      <c r="A19" s="430" t="s">
        <v>104</v>
      </c>
      <c r="B19" s="431" t="s">
        <v>548</v>
      </c>
      <c r="C19" s="431" t="s">
        <v>551</v>
      </c>
      <c r="D19" s="431" t="s">
        <v>438</v>
      </c>
      <c r="E19" s="432">
        <v>100</v>
      </c>
      <c r="F19" s="433">
        <f>273792+3800</f>
        <v>277592</v>
      </c>
      <c r="G19" s="433">
        <f>273792+3800</f>
        <v>277592</v>
      </c>
      <c r="I19" s="426"/>
      <c r="J19" s="426"/>
    </row>
    <row r="20" spans="1:10" ht="25.5">
      <c r="A20" s="430" t="s">
        <v>482</v>
      </c>
      <c r="B20" s="431" t="s">
        <v>548</v>
      </c>
      <c r="C20" s="431" t="s">
        <v>551</v>
      </c>
      <c r="D20" s="431" t="s">
        <v>438</v>
      </c>
      <c r="E20" s="432">
        <v>200</v>
      </c>
      <c r="F20" s="433">
        <v>18408</v>
      </c>
      <c r="G20" s="433">
        <v>18408</v>
      </c>
      <c r="I20" s="426"/>
      <c r="J20" s="426"/>
    </row>
    <row r="21" spans="1:10" ht="25.5">
      <c r="A21" s="432" t="s">
        <v>514</v>
      </c>
      <c r="B21" s="431" t="s">
        <v>548</v>
      </c>
      <c r="C21" s="431" t="s">
        <v>551</v>
      </c>
      <c r="D21" s="431" t="s">
        <v>439</v>
      </c>
      <c r="E21" s="431" t="s">
        <v>99</v>
      </c>
      <c r="F21" s="429">
        <f>SUM(F22:F24)</f>
        <v>7532780</v>
      </c>
      <c r="G21" s="429">
        <f>SUM(G22:G24)</f>
        <v>7303647</v>
      </c>
      <c r="I21" s="426"/>
      <c r="J21" s="426"/>
    </row>
    <row r="22" spans="1:10" ht="63.75">
      <c r="A22" s="430" t="s">
        <v>104</v>
      </c>
      <c r="B22" s="431" t="s">
        <v>548</v>
      </c>
      <c r="C22" s="431" t="s">
        <v>551</v>
      </c>
      <c r="D22" s="431" t="s">
        <v>439</v>
      </c>
      <c r="E22" s="431">
        <v>100</v>
      </c>
      <c r="F22" s="433">
        <f>5370435+1400385+229133</f>
        <v>6999953</v>
      </c>
      <c r="G22" s="433">
        <f>5370435+1400385</f>
        <v>6770820</v>
      </c>
      <c r="I22" s="426"/>
      <c r="J22" s="426"/>
    </row>
    <row r="23" spans="1:10" ht="25.5">
      <c r="A23" s="430" t="s">
        <v>482</v>
      </c>
      <c r="B23" s="431" t="s">
        <v>548</v>
      </c>
      <c r="C23" s="431" t="s">
        <v>551</v>
      </c>
      <c r="D23" s="431" t="s">
        <v>439</v>
      </c>
      <c r="E23" s="431">
        <v>200</v>
      </c>
      <c r="F23" s="433">
        <f>354854+31179</f>
        <v>386033</v>
      </c>
      <c r="G23" s="433">
        <f>354854+31179</f>
        <v>386033</v>
      </c>
      <c r="I23" s="426"/>
      <c r="J23" s="426"/>
    </row>
    <row r="24" spans="1:10" ht="12.75">
      <c r="A24" s="430" t="s">
        <v>89</v>
      </c>
      <c r="B24" s="431" t="s">
        <v>548</v>
      </c>
      <c r="C24" s="431" t="s">
        <v>551</v>
      </c>
      <c r="D24" s="431" t="s">
        <v>439</v>
      </c>
      <c r="E24" s="431">
        <v>800</v>
      </c>
      <c r="F24" s="433">
        <v>146794</v>
      </c>
      <c r="G24" s="433">
        <v>146794</v>
      </c>
      <c r="I24" s="426"/>
      <c r="J24" s="426"/>
    </row>
    <row r="25" spans="1:10" ht="52.5" customHeight="1">
      <c r="A25" s="427" t="s">
        <v>29</v>
      </c>
      <c r="B25" s="428" t="s">
        <v>548</v>
      </c>
      <c r="C25" s="428" t="s">
        <v>552</v>
      </c>
      <c r="D25" s="428" t="s">
        <v>99</v>
      </c>
      <c r="E25" s="428" t="s">
        <v>99</v>
      </c>
      <c r="F25" s="429">
        <f>F26+F33</f>
        <v>3380590</v>
      </c>
      <c r="G25" s="429">
        <f>G26+G33</f>
        <v>3272761</v>
      </c>
      <c r="I25" s="426"/>
      <c r="J25" s="426"/>
    </row>
    <row r="26" spans="1:10" ht="25.5">
      <c r="A26" s="434" t="s">
        <v>711</v>
      </c>
      <c r="B26" s="431" t="s">
        <v>548</v>
      </c>
      <c r="C26" s="431" t="s">
        <v>552</v>
      </c>
      <c r="D26" s="431" t="s">
        <v>440</v>
      </c>
      <c r="E26" s="431" t="s">
        <v>99</v>
      </c>
      <c r="F26" s="429">
        <f aca="true" t="shared" si="1" ref="F26:G28">F27</f>
        <v>2724346</v>
      </c>
      <c r="G26" s="429">
        <f t="shared" si="1"/>
        <v>2637425</v>
      </c>
      <c r="I26" s="426"/>
      <c r="J26" s="426"/>
    </row>
    <row r="27" spans="1:10" ht="51">
      <c r="A27" s="435" t="s">
        <v>713</v>
      </c>
      <c r="B27" s="431" t="s">
        <v>548</v>
      </c>
      <c r="C27" s="431" t="s">
        <v>552</v>
      </c>
      <c r="D27" s="431" t="s">
        <v>441</v>
      </c>
      <c r="E27" s="432" t="s">
        <v>99</v>
      </c>
      <c r="F27" s="429">
        <f t="shared" si="1"/>
        <v>2724346</v>
      </c>
      <c r="G27" s="429">
        <f t="shared" si="1"/>
        <v>2637425</v>
      </c>
      <c r="I27" s="426"/>
      <c r="J27" s="426"/>
    </row>
    <row r="28" spans="1:10" ht="51">
      <c r="A28" s="22" t="s">
        <v>753</v>
      </c>
      <c r="B28" s="431" t="s">
        <v>548</v>
      </c>
      <c r="C28" s="431" t="s">
        <v>552</v>
      </c>
      <c r="D28" s="431" t="s">
        <v>644</v>
      </c>
      <c r="E28" s="432"/>
      <c r="F28" s="429">
        <f t="shared" si="1"/>
        <v>2724346</v>
      </c>
      <c r="G28" s="429">
        <f t="shared" si="1"/>
        <v>2637425</v>
      </c>
      <c r="I28" s="426"/>
      <c r="J28" s="426"/>
    </row>
    <row r="29" spans="1:10" ht="25.5">
      <c r="A29" s="432" t="s">
        <v>514</v>
      </c>
      <c r="B29" s="431" t="s">
        <v>548</v>
      </c>
      <c r="C29" s="431" t="s">
        <v>552</v>
      </c>
      <c r="D29" s="431" t="s">
        <v>442</v>
      </c>
      <c r="E29" s="431" t="s">
        <v>99</v>
      </c>
      <c r="F29" s="429">
        <f>SUM(F30:F32)</f>
        <v>2724346</v>
      </c>
      <c r="G29" s="429">
        <f>SUM(G30:G32)</f>
        <v>2637425</v>
      </c>
      <c r="I29" s="426"/>
      <c r="J29" s="426"/>
    </row>
    <row r="30" spans="1:10" ht="63.75">
      <c r="A30" s="430" t="s">
        <v>104</v>
      </c>
      <c r="B30" s="431" t="s">
        <v>548</v>
      </c>
      <c r="C30" s="431" t="s">
        <v>552</v>
      </c>
      <c r="D30" s="431" t="s">
        <v>442</v>
      </c>
      <c r="E30" s="431">
        <v>100</v>
      </c>
      <c r="F30" s="433">
        <f>2037254+531231+86921</f>
        <v>2655406</v>
      </c>
      <c r="G30" s="433">
        <f>2037254+531231</f>
        <v>2568485</v>
      </c>
      <c r="I30" s="426"/>
      <c r="J30" s="426"/>
    </row>
    <row r="31" spans="1:10" ht="25.5">
      <c r="A31" s="430" t="s">
        <v>482</v>
      </c>
      <c r="B31" s="431" t="s">
        <v>548</v>
      </c>
      <c r="C31" s="431" t="s">
        <v>552</v>
      </c>
      <c r="D31" s="431" t="s">
        <v>442</v>
      </c>
      <c r="E31" s="431" t="s">
        <v>600</v>
      </c>
      <c r="F31" s="433">
        <v>62140</v>
      </c>
      <c r="G31" s="433">
        <v>62140</v>
      </c>
      <c r="I31" s="426"/>
      <c r="J31" s="426"/>
    </row>
    <row r="32" spans="1:10" ht="12.75">
      <c r="A32" s="430" t="s">
        <v>89</v>
      </c>
      <c r="B32" s="431" t="s">
        <v>548</v>
      </c>
      <c r="C32" s="431" t="s">
        <v>552</v>
      </c>
      <c r="D32" s="431" t="s">
        <v>442</v>
      </c>
      <c r="E32" s="431" t="s">
        <v>90</v>
      </c>
      <c r="F32" s="433">
        <v>6800</v>
      </c>
      <c r="G32" s="433">
        <v>6800</v>
      </c>
      <c r="I32" s="426"/>
      <c r="J32" s="426"/>
    </row>
    <row r="33" spans="1:10" ht="38.25">
      <c r="A33" s="434" t="s">
        <v>192</v>
      </c>
      <c r="B33" s="431" t="s">
        <v>548</v>
      </c>
      <c r="C33" s="431" t="s">
        <v>552</v>
      </c>
      <c r="D33" s="436" t="s">
        <v>443</v>
      </c>
      <c r="E33" s="432" t="s">
        <v>99</v>
      </c>
      <c r="F33" s="429">
        <f>F34+F37</f>
        <v>656244</v>
      </c>
      <c r="G33" s="429">
        <f>G34+G37</f>
        <v>635336</v>
      </c>
      <c r="I33" s="426"/>
      <c r="J33" s="426"/>
    </row>
    <row r="34" spans="1:10" ht="25.5">
      <c r="A34" s="435" t="s">
        <v>193</v>
      </c>
      <c r="B34" s="431" t="s">
        <v>548</v>
      </c>
      <c r="C34" s="431" t="s">
        <v>552</v>
      </c>
      <c r="D34" s="437" t="s">
        <v>444</v>
      </c>
      <c r="E34" s="431" t="s">
        <v>99</v>
      </c>
      <c r="F34" s="429">
        <f>F35</f>
        <v>410439</v>
      </c>
      <c r="G34" s="429">
        <f>G35</f>
        <v>397004</v>
      </c>
      <c r="I34" s="426"/>
      <c r="J34" s="426"/>
    </row>
    <row r="35" spans="1:10" ht="25.5">
      <c r="A35" s="432" t="s">
        <v>514</v>
      </c>
      <c r="B35" s="431" t="s">
        <v>548</v>
      </c>
      <c r="C35" s="431" t="s">
        <v>552</v>
      </c>
      <c r="D35" s="436" t="s">
        <v>445</v>
      </c>
      <c r="E35" s="431"/>
      <c r="F35" s="429">
        <f>SUM(F36:F36)</f>
        <v>410439</v>
      </c>
      <c r="G35" s="429">
        <f>SUM(G36:G36)</f>
        <v>397004</v>
      </c>
      <c r="I35" s="426"/>
      <c r="J35" s="426"/>
    </row>
    <row r="36" spans="1:10" ht="63.75">
      <c r="A36" s="430" t="s">
        <v>104</v>
      </c>
      <c r="B36" s="431" t="s">
        <v>548</v>
      </c>
      <c r="C36" s="431" t="s">
        <v>552</v>
      </c>
      <c r="D36" s="436" t="s">
        <v>445</v>
      </c>
      <c r="E36" s="431">
        <v>100</v>
      </c>
      <c r="F36" s="429">
        <f>397004+13435</f>
        <v>410439</v>
      </c>
      <c r="G36" s="429">
        <v>397004</v>
      </c>
      <c r="I36" s="426"/>
      <c r="J36" s="426"/>
    </row>
    <row r="37" spans="1:10" ht="25.5">
      <c r="A37" s="430" t="s">
        <v>847</v>
      </c>
      <c r="B37" s="431" t="s">
        <v>548</v>
      </c>
      <c r="C37" s="431" t="s">
        <v>552</v>
      </c>
      <c r="D37" s="437" t="s">
        <v>846</v>
      </c>
      <c r="E37" s="431"/>
      <c r="F37" s="429">
        <f>F38</f>
        <v>245805</v>
      </c>
      <c r="G37" s="429">
        <f>G38</f>
        <v>238332</v>
      </c>
      <c r="I37" s="426"/>
      <c r="J37" s="426"/>
    </row>
    <row r="38" spans="1:10" ht="25.5">
      <c r="A38" s="432" t="s">
        <v>514</v>
      </c>
      <c r="B38" s="431" t="s">
        <v>548</v>
      </c>
      <c r="C38" s="431" t="s">
        <v>552</v>
      </c>
      <c r="D38" s="436" t="s">
        <v>845</v>
      </c>
      <c r="E38" s="431"/>
      <c r="F38" s="429">
        <f>F39+F40+F41</f>
        <v>245805</v>
      </c>
      <c r="G38" s="429">
        <f>G39+G40+G41</f>
        <v>238332</v>
      </c>
      <c r="I38" s="426"/>
      <c r="J38" s="426"/>
    </row>
    <row r="39" spans="1:10" ht="63.75">
      <c r="A39" s="430" t="s">
        <v>104</v>
      </c>
      <c r="B39" s="431" t="s">
        <v>548</v>
      </c>
      <c r="C39" s="431" t="s">
        <v>552</v>
      </c>
      <c r="D39" s="436" t="s">
        <v>845</v>
      </c>
      <c r="E39" s="431">
        <v>100</v>
      </c>
      <c r="F39" s="433">
        <f>175158+45674+7473</f>
        <v>228305</v>
      </c>
      <c r="G39" s="433">
        <f>175158+45674</f>
        <v>220832</v>
      </c>
      <c r="I39" s="426"/>
      <c r="J39" s="426"/>
    </row>
    <row r="40" spans="1:10" ht="25.5">
      <c r="A40" s="430" t="s">
        <v>482</v>
      </c>
      <c r="B40" s="431" t="s">
        <v>548</v>
      </c>
      <c r="C40" s="431" t="s">
        <v>552</v>
      </c>
      <c r="D40" s="436" t="s">
        <v>845</v>
      </c>
      <c r="E40" s="431">
        <v>200</v>
      </c>
      <c r="F40" s="433">
        <v>15500</v>
      </c>
      <c r="G40" s="433">
        <v>15500</v>
      </c>
      <c r="I40" s="426"/>
      <c r="J40" s="426"/>
    </row>
    <row r="41" spans="1:10" ht="12.75">
      <c r="A41" s="430" t="s">
        <v>89</v>
      </c>
      <c r="B41" s="431" t="s">
        <v>548</v>
      </c>
      <c r="C41" s="431" t="s">
        <v>552</v>
      </c>
      <c r="D41" s="436" t="s">
        <v>845</v>
      </c>
      <c r="E41" s="431">
        <v>800</v>
      </c>
      <c r="F41" s="433">
        <v>2000</v>
      </c>
      <c r="G41" s="433">
        <v>2000</v>
      </c>
      <c r="I41" s="426"/>
      <c r="J41" s="426"/>
    </row>
    <row r="42" spans="1:10" ht="12.75">
      <c r="A42" s="427" t="s">
        <v>553</v>
      </c>
      <c r="B42" s="428" t="s">
        <v>548</v>
      </c>
      <c r="C42" s="428" t="s">
        <v>554</v>
      </c>
      <c r="D42" s="428" t="s">
        <v>99</v>
      </c>
      <c r="E42" s="428" t="s">
        <v>99</v>
      </c>
      <c r="F42" s="429">
        <f aca="true" t="shared" si="2" ref="F42:G45">F43</f>
        <v>5000</v>
      </c>
      <c r="G42" s="429">
        <f t="shared" si="2"/>
        <v>5000</v>
      </c>
      <c r="I42" s="426"/>
      <c r="J42" s="426"/>
    </row>
    <row r="43" spans="1:10" ht="25.5">
      <c r="A43" s="430" t="s">
        <v>714</v>
      </c>
      <c r="B43" s="431" t="s">
        <v>548</v>
      </c>
      <c r="C43" s="431" t="s">
        <v>554</v>
      </c>
      <c r="D43" s="431" t="s">
        <v>446</v>
      </c>
      <c r="E43" s="431" t="s">
        <v>99</v>
      </c>
      <c r="F43" s="429">
        <f t="shared" si="2"/>
        <v>5000</v>
      </c>
      <c r="G43" s="429">
        <f t="shared" si="2"/>
        <v>5000</v>
      </c>
      <c r="I43" s="426"/>
      <c r="J43" s="426"/>
    </row>
    <row r="44" spans="1:10" ht="12.75">
      <c r="A44" s="430" t="s">
        <v>553</v>
      </c>
      <c r="B44" s="431" t="s">
        <v>548</v>
      </c>
      <c r="C44" s="431" t="s">
        <v>554</v>
      </c>
      <c r="D44" s="431" t="s">
        <v>447</v>
      </c>
      <c r="E44" s="432" t="s">
        <v>99</v>
      </c>
      <c r="F44" s="429">
        <f t="shared" si="2"/>
        <v>5000</v>
      </c>
      <c r="G44" s="429">
        <f t="shared" si="2"/>
        <v>5000</v>
      </c>
      <c r="I44" s="426"/>
      <c r="J44" s="426"/>
    </row>
    <row r="45" spans="1:10" ht="12.75">
      <c r="A45" s="432" t="s">
        <v>517</v>
      </c>
      <c r="B45" s="431" t="s">
        <v>548</v>
      </c>
      <c r="C45" s="431" t="s">
        <v>554</v>
      </c>
      <c r="D45" s="431" t="s">
        <v>807</v>
      </c>
      <c r="E45" s="438" t="s">
        <v>99</v>
      </c>
      <c r="F45" s="429">
        <f t="shared" si="2"/>
        <v>5000</v>
      </c>
      <c r="G45" s="429">
        <f t="shared" si="2"/>
        <v>5000</v>
      </c>
      <c r="I45" s="426"/>
      <c r="J45" s="426"/>
    </row>
    <row r="46" spans="1:10" ht="12.75">
      <c r="A46" s="430" t="s">
        <v>89</v>
      </c>
      <c r="B46" s="431" t="s">
        <v>548</v>
      </c>
      <c r="C46" s="431" t="s">
        <v>554</v>
      </c>
      <c r="D46" s="431" t="s">
        <v>807</v>
      </c>
      <c r="E46" s="431" t="s">
        <v>90</v>
      </c>
      <c r="F46" s="433">
        <v>5000</v>
      </c>
      <c r="G46" s="433">
        <v>5000</v>
      </c>
      <c r="I46" s="426"/>
      <c r="J46" s="426"/>
    </row>
    <row r="47" spans="1:10" ht="12.75">
      <c r="A47" s="427" t="s">
        <v>470</v>
      </c>
      <c r="B47" s="428" t="s">
        <v>548</v>
      </c>
      <c r="C47" s="428" t="s">
        <v>218</v>
      </c>
      <c r="D47" s="428" t="s">
        <v>99</v>
      </c>
      <c r="E47" s="428" t="s">
        <v>99</v>
      </c>
      <c r="F47" s="429">
        <f>F48+F58+F64+F74+F70</f>
        <v>12680153</v>
      </c>
      <c r="G47" s="429">
        <f>G48+G58+G64+G74+G70</f>
        <v>12335771</v>
      </c>
      <c r="I47" s="426"/>
      <c r="J47" s="426"/>
    </row>
    <row r="48" spans="1:10" ht="25.5">
      <c r="A48" s="434" t="s">
        <v>71</v>
      </c>
      <c r="B48" s="431" t="s">
        <v>548</v>
      </c>
      <c r="C48" s="431" t="s">
        <v>218</v>
      </c>
      <c r="D48" s="431" t="s">
        <v>808</v>
      </c>
      <c r="E48" s="431" t="s">
        <v>99</v>
      </c>
      <c r="F48" s="429">
        <f>F49+F53</f>
        <v>1012300</v>
      </c>
      <c r="G48" s="429">
        <f>G49+G53</f>
        <v>1012300</v>
      </c>
      <c r="I48" s="426"/>
      <c r="J48" s="426"/>
    </row>
    <row r="49" spans="1:10" ht="51">
      <c r="A49" s="435" t="s">
        <v>389</v>
      </c>
      <c r="B49" s="431" t="s">
        <v>548</v>
      </c>
      <c r="C49" s="431" t="s">
        <v>218</v>
      </c>
      <c r="D49" s="437" t="s">
        <v>812</v>
      </c>
      <c r="E49" s="432" t="s">
        <v>99</v>
      </c>
      <c r="F49" s="429">
        <f aca="true" t="shared" si="3" ref="F49:G51">F50</f>
        <v>124300</v>
      </c>
      <c r="G49" s="429">
        <f t="shared" si="3"/>
        <v>124300</v>
      </c>
      <c r="I49" s="426"/>
      <c r="J49" s="426"/>
    </row>
    <row r="50" spans="1:10" ht="55.5" customHeight="1">
      <c r="A50" s="27" t="s">
        <v>898</v>
      </c>
      <c r="B50" s="431" t="s">
        <v>548</v>
      </c>
      <c r="C50" s="431" t="s">
        <v>218</v>
      </c>
      <c r="D50" s="437" t="s">
        <v>142</v>
      </c>
      <c r="E50" s="432"/>
      <c r="F50" s="429">
        <f t="shared" si="3"/>
        <v>124300</v>
      </c>
      <c r="G50" s="429">
        <f t="shared" si="3"/>
        <v>124300</v>
      </c>
      <c r="I50" s="426"/>
      <c r="J50" s="426"/>
    </row>
    <row r="51" spans="1:10" ht="42" customHeight="1">
      <c r="A51" s="432" t="s">
        <v>390</v>
      </c>
      <c r="B51" s="431" t="s">
        <v>548</v>
      </c>
      <c r="C51" s="431" t="s">
        <v>218</v>
      </c>
      <c r="D51" s="436" t="s">
        <v>899</v>
      </c>
      <c r="E51" s="431" t="s">
        <v>99</v>
      </c>
      <c r="F51" s="429">
        <f t="shared" si="3"/>
        <v>124300</v>
      </c>
      <c r="G51" s="429">
        <f t="shared" si="3"/>
        <v>124300</v>
      </c>
      <c r="I51" s="426"/>
      <c r="J51" s="426"/>
    </row>
    <row r="52" spans="1:10" ht="38.25">
      <c r="A52" s="430" t="s">
        <v>102</v>
      </c>
      <c r="B52" s="431" t="s">
        <v>548</v>
      </c>
      <c r="C52" s="431" t="s">
        <v>218</v>
      </c>
      <c r="D52" s="436" t="s">
        <v>899</v>
      </c>
      <c r="E52" s="431" t="s">
        <v>91</v>
      </c>
      <c r="F52" s="433">
        <f>122900+1400</f>
        <v>124300</v>
      </c>
      <c r="G52" s="433">
        <v>124300</v>
      </c>
      <c r="I52" s="426"/>
      <c r="J52" s="426"/>
    </row>
    <row r="53" spans="1:10" ht="63.75">
      <c r="A53" s="435" t="s">
        <v>712</v>
      </c>
      <c r="B53" s="431" t="s">
        <v>548</v>
      </c>
      <c r="C53" s="431" t="s">
        <v>218</v>
      </c>
      <c r="D53" s="431" t="s">
        <v>813</v>
      </c>
      <c r="E53" s="432" t="s">
        <v>99</v>
      </c>
      <c r="F53" s="429">
        <f>F54</f>
        <v>888000</v>
      </c>
      <c r="G53" s="429">
        <f>G54</f>
        <v>888000</v>
      </c>
      <c r="I53" s="426"/>
      <c r="J53" s="426"/>
    </row>
    <row r="54" spans="1:10" ht="51">
      <c r="A54" s="430" t="s">
        <v>23</v>
      </c>
      <c r="B54" s="431" t="s">
        <v>548</v>
      </c>
      <c r="C54" s="431" t="s">
        <v>218</v>
      </c>
      <c r="D54" s="431" t="s">
        <v>754</v>
      </c>
      <c r="E54" s="432"/>
      <c r="F54" s="429">
        <f>F55</f>
        <v>888000</v>
      </c>
      <c r="G54" s="429">
        <f>G55</f>
        <v>888000</v>
      </c>
      <c r="I54" s="426"/>
      <c r="J54" s="426"/>
    </row>
    <row r="55" spans="1:10" ht="51">
      <c r="A55" s="432" t="s">
        <v>611</v>
      </c>
      <c r="B55" s="431" t="s">
        <v>548</v>
      </c>
      <c r="C55" s="431" t="s">
        <v>218</v>
      </c>
      <c r="D55" s="436" t="s">
        <v>900</v>
      </c>
      <c r="E55" s="431"/>
      <c r="F55" s="429">
        <f>SUM(F56:F57)</f>
        <v>888000</v>
      </c>
      <c r="G55" s="429">
        <f>SUM(G56:G57)</f>
        <v>888000</v>
      </c>
      <c r="I55" s="426"/>
      <c r="J55" s="426"/>
    </row>
    <row r="56" spans="1:10" ht="63.75">
      <c r="A56" s="430" t="s">
        <v>104</v>
      </c>
      <c r="B56" s="431" t="s">
        <v>548</v>
      </c>
      <c r="C56" s="431" t="s">
        <v>218</v>
      </c>
      <c r="D56" s="436" t="s">
        <v>900</v>
      </c>
      <c r="E56" s="431">
        <v>100</v>
      </c>
      <c r="F56" s="433">
        <v>829238</v>
      </c>
      <c r="G56" s="433">
        <v>829238</v>
      </c>
      <c r="I56" s="426"/>
      <c r="J56" s="426"/>
    </row>
    <row r="57" spans="1:10" ht="25.5">
      <c r="A57" s="430" t="s">
        <v>482</v>
      </c>
      <c r="B57" s="431" t="s">
        <v>548</v>
      </c>
      <c r="C57" s="431" t="s">
        <v>218</v>
      </c>
      <c r="D57" s="436" t="s">
        <v>900</v>
      </c>
      <c r="E57" s="431" t="s">
        <v>600</v>
      </c>
      <c r="F57" s="433">
        <f>47362+11400</f>
        <v>58762</v>
      </c>
      <c r="G57" s="433">
        <f>47362+11400</f>
        <v>58762</v>
      </c>
      <c r="I57" s="426"/>
      <c r="J57" s="426"/>
    </row>
    <row r="58" spans="1:10" ht="68.25" customHeight="1">
      <c r="A58" s="439" t="s">
        <v>476</v>
      </c>
      <c r="B58" s="431" t="s">
        <v>548</v>
      </c>
      <c r="C58" s="431" t="s">
        <v>218</v>
      </c>
      <c r="D58" s="436" t="s">
        <v>814</v>
      </c>
      <c r="E58" s="431" t="s">
        <v>99</v>
      </c>
      <c r="F58" s="429">
        <f aca="true" t="shared" si="4" ref="F58:G60">F59</f>
        <v>321645.5</v>
      </c>
      <c r="G58" s="429">
        <f t="shared" si="4"/>
        <v>321645.5</v>
      </c>
      <c r="I58" s="426"/>
      <c r="J58" s="426"/>
    </row>
    <row r="59" spans="1:10" ht="39.75" customHeight="1">
      <c r="A59" s="440" t="s">
        <v>477</v>
      </c>
      <c r="B59" s="431" t="s">
        <v>548</v>
      </c>
      <c r="C59" s="431" t="s">
        <v>218</v>
      </c>
      <c r="D59" s="436" t="s">
        <v>815</v>
      </c>
      <c r="E59" s="438" t="s">
        <v>99</v>
      </c>
      <c r="F59" s="429">
        <f t="shared" si="4"/>
        <v>321645.5</v>
      </c>
      <c r="G59" s="429">
        <f t="shared" si="4"/>
        <v>321645.5</v>
      </c>
      <c r="I59" s="426"/>
      <c r="J59" s="426"/>
    </row>
    <row r="60" spans="1:10" ht="51">
      <c r="A60" s="23" t="s">
        <v>844</v>
      </c>
      <c r="B60" s="431" t="s">
        <v>548</v>
      </c>
      <c r="C60" s="431" t="s">
        <v>218</v>
      </c>
      <c r="D60" s="436" t="s">
        <v>816</v>
      </c>
      <c r="E60" s="438"/>
      <c r="F60" s="429">
        <f t="shared" si="4"/>
        <v>321645.5</v>
      </c>
      <c r="G60" s="429">
        <f t="shared" si="4"/>
        <v>321645.5</v>
      </c>
      <c r="I60" s="426"/>
      <c r="J60" s="426"/>
    </row>
    <row r="61" spans="1:10" ht="25.5">
      <c r="A61" s="432" t="s">
        <v>612</v>
      </c>
      <c r="B61" s="431" t="s">
        <v>548</v>
      </c>
      <c r="C61" s="431" t="s">
        <v>218</v>
      </c>
      <c r="D61" s="436" t="s">
        <v>817</v>
      </c>
      <c r="E61" s="438" t="s">
        <v>99</v>
      </c>
      <c r="F61" s="429">
        <f>SUM(F62:F63)</f>
        <v>321645.5</v>
      </c>
      <c r="G61" s="429">
        <f>SUM(G62:G63)</f>
        <v>321645.5</v>
      </c>
      <c r="I61" s="426"/>
      <c r="J61" s="426"/>
    </row>
    <row r="62" spans="1:10" ht="25.5">
      <c r="A62" s="430" t="s">
        <v>482</v>
      </c>
      <c r="B62" s="431" t="s">
        <v>548</v>
      </c>
      <c r="C62" s="431" t="s">
        <v>218</v>
      </c>
      <c r="D62" s="436" t="s">
        <v>817</v>
      </c>
      <c r="E62" s="431" t="s">
        <v>600</v>
      </c>
      <c r="F62" s="433">
        <f>261068+27080</f>
        <v>288148</v>
      </c>
      <c r="G62" s="433">
        <f>261068+27080</f>
        <v>288148</v>
      </c>
      <c r="I62" s="426"/>
      <c r="J62" s="426"/>
    </row>
    <row r="63" spans="1:10" ht="12.75">
      <c r="A63" s="430" t="s">
        <v>89</v>
      </c>
      <c r="B63" s="431" t="s">
        <v>548</v>
      </c>
      <c r="C63" s="431" t="s">
        <v>218</v>
      </c>
      <c r="D63" s="436" t="s">
        <v>817</v>
      </c>
      <c r="E63" s="431">
        <v>800</v>
      </c>
      <c r="F63" s="433">
        <v>33497.5</v>
      </c>
      <c r="G63" s="433">
        <v>33497.5</v>
      </c>
      <c r="I63" s="426"/>
      <c r="J63" s="426"/>
    </row>
    <row r="64" spans="1:10" ht="63.75">
      <c r="A64" s="434" t="s">
        <v>931</v>
      </c>
      <c r="B64" s="431" t="s">
        <v>548</v>
      </c>
      <c r="C64" s="431" t="s">
        <v>218</v>
      </c>
      <c r="D64" s="431" t="s">
        <v>818</v>
      </c>
      <c r="E64" s="431"/>
      <c r="F64" s="429">
        <f aca="true" t="shared" si="5" ref="F64:G66">F65</f>
        <v>296000</v>
      </c>
      <c r="G64" s="429">
        <f t="shared" si="5"/>
        <v>296000</v>
      </c>
      <c r="I64" s="426"/>
      <c r="J64" s="426"/>
    </row>
    <row r="65" spans="1:10" ht="89.25">
      <c r="A65" s="435" t="s">
        <v>56</v>
      </c>
      <c r="B65" s="431" t="s">
        <v>548</v>
      </c>
      <c r="C65" s="431" t="s">
        <v>218</v>
      </c>
      <c r="D65" s="431" t="s">
        <v>819</v>
      </c>
      <c r="E65" s="431"/>
      <c r="F65" s="429">
        <f t="shared" si="5"/>
        <v>296000</v>
      </c>
      <c r="G65" s="429">
        <f t="shared" si="5"/>
        <v>296000</v>
      </c>
      <c r="I65" s="426"/>
      <c r="J65" s="426"/>
    </row>
    <row r="66" spans="1:10" ht="38.25">
      <c r="A66" s="430" t="s">
        <v>902</v>
      </c>
      <c r="B66" s="431" t="s">
        <v>548</v>
      </c>
      <c r="C66" s="431" t="s">
        <v>218</v>
      </c>
      <c r="D66" s="431" t="s">
        <v>454</v>
      </c>
      <c r="E66" s="431"/>
      <c r="F66" s="429">
        <f t="shared" si="5"/>
        <v>296000</v>
      </c>
      <c r="G66" s="429">
        <f t="shared" si="5"/>
        <v>296000</v>
      </c>
      <c r="I66" s="426"/>
      <c r="J66" s="426"/>
    </row>
    <row r="67" spans="1:10" ht="51">
      <c r="A67" s="430" t="s">
        <v>453</v>
      </c>
      <c r="B67" s="431" t="s">
        <v>548</v>
      </c>
      <c r="C67" s="431" t="s">
        <v>218</v>
      </c>
      <c r="D67" s="431" t="s">
        <v>901</v>
      </c>
      <c r="E67" s="431"/>
      <c r="F67" s="429">
        <f>SUM(F68:F69)</f>
        <v>296000</v>
      </c>
      <c r="G67" s="429">
        <f>SUM(G68:G69)</f>
        <v>296000</v>
      </c>
      <c r="I67" s="426"/>
      <c r="J67" s="426"/>
    </row>
    <row r="68" spans="1:10" ht="63.75">
      <c r="A68" s="430" t="s">
        <v>104</v>
      </c>
      <c r="B68" s="431" t="s">
        <v>548</v>
      </c>
      <c r="C68" s="431" t="s">
        <v>218</v>
      </c>
      <c r="D68" s="431" t="s">
        <v>901</v>
      </c>
      <c r="E68" s="431">
        <v>100</v>
      </c>
      <c r="F68" s="433">
        <f>286475.15+3800</f>
        <v>290275.15</v>
      </c>
      <c r="G68" s="433">
        <f>286475.15+3800</f>
        <v>290275.15</v>
      </c>
      <c r="I68" s="426"/>
      <c r="J68" s="426"/>
    </row>
    <row r="69" spans="1:10" ht="25.5">
      <c r="A69" s="430" t="s">
        <v>482</v>
      </c>
      <c r="B69" s="431" t="s">
        <v>548</v>
      </c>
      <c r="C69" s="431" t="s">
        <v>218</v>
      </c>
      <c r="D69" s="431" t="s">
        <v>901</v>
      </c>
      <c r="E69" s="431">
        <v>200</v>
      </c>
      <c r="F69" s="433">
        <v>5724.85</v>
      </c>
      <c r="G69" s="433">
        <v>5724.85</v>
      </c>
      <c r="I69" s="426"/>
      <c r="J69" s="426"/>
    </row>
    <row r="70" spans="1:10" ht="38.25">
      <c r="A70" s="441" t="s">
        <v>537</v>
      </c>
      <c r="B70" s="442" t="s">
        <v>548</v>
      </c>
      <c r="C70" s="442" t="s">
        <v>218</v>
      </c>
      <c r="D70" s="443" t="s">
        <v>536</v>
      </c>
      <c r="E70" s="442"/>
      <c r="F70" s="444">
        <f aca="true" t="shared" si="6" ref="F70:G72">F71</f>
        <v>35000</v>
      </c>
      <c r="G70" s="444">
        <f t="shared" si="6"/>
        <v>35000</v>
      </c>
      <c r="I70" s="426"/>
      <c r="J70" s="426"/>
    </row>
    <row r="71" spans="1:10" ht="25.5">
      <c r="A71" s="445" t="s">
        <v>535</v>
      </c>
      <c r="B71" s="442" t="s">
        <v>548</v>
      </c>
      <c r="C71" s="442" t="s">
        <v>218</v>
      </c>
      <c r="D71" s="443" t="s">
        <v>534</v>
      </c>
      <c r="E71" s="442"/>
      <c r="F71" s="444">
        <f t="shared" si="6"/>
        <v>35000</v>
      </c>
      <c r="G71" s="444">
        <f t="shared" si="6"/>
        <v>35000</v>
      </c>
      <c r="I71" s="426"/>
      <c r="J71" s="426"/>
    </row>
    <row r="72" spans="1:10" ht="25.5">
      <c r="A72" s="446" t="s">
        <v>843</v>
      </c>
      <c r="B72" s="442" t="s">
        <v>548</v>
      </c>
      <c r="C72" s="442" t="s">
        <v>218</v>
      </c>
      <c r="D72" s="443" t="s">
        <v>497</v>
      </c>
      <c r="E72" s="442"/>
      <c r="F72" s="444">
        <f t="shared" si="6"/>
        <v>35000</v>
      </c>
      <c r="G72" s="444">
        <f t="shared" si="6"/>
        <v>35000</v>
      </c>
      <c r="I72" s="426"/>
      <c r="J72" s="426"/>
    </row>
    <row r="73" spans="1:10" ht="12.75">
      <c r="A73" s="441" t="s">
        <v>89</v>
      </c>
      <c r="B73" s="442" t="s">
        <v>548</v>
      </c>
      <c r="C73" s="442" t="s">
        <v>218</v>
      </c>
      <c r="D73" s="443" t="s">
        <v>497</v>
      </c>
      <c r="E73" s="442">
        <v>800</v>
      </c>
      <c r="F73" s="444">
        <v>35000</v>
      </c>
      <c r="G73" s="444">
        <v>35000</v>
      </c>
      <c r="I73" s="426"/>
      <c r="J73" s="426"/>
    </row>
    <row r="74" spans="1:10" ht="25.5">
      <c r="A74" s="434" t="s">
        <v>391</v>
      </c>
      <c r="B74" s="431" t="s">
        <v>548</v>
      </c>
      <c r="C74" s="431" t="s">
        <v>218</v>
      </c>
      <c r="D74" s="436" t="s">
        <v>820</v>
      </c>
      <c r="E74" s="438" t="s">
        <v>99</v>
      </c>
      <c r="F74" s="429">
        <f>F75</f>
        <v>11015207.5</v>
      </c>
      <c r="G74" s="429">
        <f>G75</f>
        <v>10670825.5</v>
      </c>
      <c r="I74" s="426"/>
      <c r="J74" s="426"/>
    </row>
    <row r="75" spans="1:10" ht="25.5">
      <c r="A75" s="435" t="s">
        <v>392</v>
      </c>
      <c r="B75" s="431" t="s">
        <v>548</v>
      </c>
      <c r="C75" s="431" t="s">
        <v>218</v>
      </c>
      <c r="D75" s="437" t="s">
        <v>822</v>
      </c>
      <c r="E75" s="447" t="s">
        <v>99</v>
      </c>
      <c r="F75" s="429">
        <f>F76+F80+F82</f>
        <v>11015207.5</v>
      </c>
      <c r="G75" s="429">
        <f>G76+G80+G82</f>
        <v>10670825.5</v>
      </c>
      <c r="I75" s="426"/>
      <c r="J75" s="426"/>
    </row>
    <row r="76" spans="1:10" ht="25.5">
      <c r="A76" s="432" t="s">
        <v>126</v>
      </c>
      <c r="B76" s="431" t="s">
        <v>548</v>
      </c>
      <c r="C76" s="431" t="s">
        <v>218</v>
      </c>
      <c r="D76" s="436" t="s">
        <v>823</v>
      </c>
      <c r="E76" s="438" t="s">
        <v>99</v>
      </c>
      <c r="F76" s="429">
        <f>SUM(F77:F79)</f>
        <v>10767207.5</v>
      </c>
      <c r="G76" s="429">
        <f>SUM(G77:G79)</f>
        <v>10422825.5</v>
      </c>
      <c r="I76" s="426"/>
      <c r="J76" s="426"/>
    </row>
    <row r="77" spans="1:10" ht="63.75">
      <c r="A77" s="430" t="s">
        <v>104</v>
      </c>
      <c r="B77" s="431" t="s">
        <v>548</v>
      </c>
      <c r="C77" s="431" t="s">
        <v>218</v>
      </c>
      <c r="D77" s="436" t="s">
        <v>823</v>
      </c>
      <c r="E77" s="431" t="s">
        <v>27</v>
      </c>
      <c r="F77" s="433">
        <f>8044620+2131775+344382</f>
        <v>10520777</v>
      </c>
      <c r="G77" s="433">
        <f>8044620+2131775</f>
        <v>10176395</v>
      </c>
      <c r="I77" s="426"/>
      <c r="J77" s="426"/>
    </row>
    <row r="78" spans="1:10" ht="25.5">
      <c r="A78" s="430" t="s">
        <v>482</v>
      </c>
      <c r="B78" s="431" t="s">
        <v>548</v>
      </c>
      <c r="C78" s="431" t="s">
        <v>218</v>
      </c>
      <c r="D78" s="436" t="s">
        <v>823</v>
      </c>
      <c r="E78" s="431" t="s">
        <v>600</v>
      </c>
      <c r="F78" s="433">
        <f>226185+462</f>
        <v>226647</v>
      </c>
      <c r="G78" s="433">
        <f>226185+462</f>
        <v>226647</v>
      </c>
      <c r="I78" s="426"/>
      <c r="J78" s="426"/>
    </row>
    <row r="79" spans="1:10" ht="12.75">
      <c r="A79" s="430" t="s">
        <v>89</v>
      </c>
      <c r="B79" s="431" t="s">
        <v>548</v>
      </c>
      <c r="C79" s="431" t="s">
        <v>218</v>
      </c>
      <c r="D79" s="436" t="s">
        <v>823</v>
      </c>
      <c r="E79" s="431" t="s">
        <v>90</v>
      </c>
      <c r="F79" s="433">
        <v>19783.5</v>
      </c>
      <c r="G79" s="433">
        <v>19783.5</v>
      </c>
      <c r="I79" s="426"/>
      <c r="J79" s="426"/>
    </row>
    <row r="80" spans="1:10" ht="25.5">
      <c r="A80" s="432" t="s">
        <v>914</v>
      </c>
      <c r="B80" s="431" t="s">
        <v>548</v>
      </c>
      <c r="C80" s="431" t="s">
        <v>218</v>
      </c>
      <c r="D80" s="436" t="s">
        <v>824</v>
      </c>
      <c r="E80" s="438" t="s">
        <v>99</v>
      </c>
      <c r="F80" s="429">
        <f>F81</f>
        <v>100000</v>
      </c>
      <c r="G80" s="429">
        <f>G81</f>
        <v>100000</v>
      </c>
      <c r="I80" s="426"/>
      <c r="J80" s="426"/>
    </row>
    <row r="81" spans="1:10" ht="25.5">
      <c r="A81" s="430" t="s">
        <v>482</v>
      </c>
      <c r="B81" s="431" t="s">
        <v>548</v>
      </c>
      <c r="C81" s="431" t="s">
        <v>218</v>
      </c>
      <c r="D81" s="436" t="s">
        <v>824</v>
      </c>
      <c r="E81" s="436">
        <v>200</v>
      </c>
      <c r="F81" s="433">
        <v>100000</v>
      </c>
      <c r="G81" s="433">
        <v>100000</v>
      </c>
      <c r="I81" s="426"/>
      <c r="J81" s="426"/>
    </row>
    <row r="82" spans="1:10" ht="51">
      <c r="A82" s="119" t="s">
        <v>463</v>
      </c>
      <c r="B82" s="442" t="s">
        <v>548</v>
      </c>
      <c r="C82" s="442" t="s">
        <v>218</v>
      </c>
      <c r="D82" s="443" t="s">
        <v>464</v>
      </c>
      <c r="E82" s="443"/>
      <c r="F82" s="448">
        <f>F83+F84</f>
        <v>148000</v>
      </c>
      <c r="G82" s="448">
        <f>G83+G84</f>
        <v>148000</v>
      </c>
      <c r="I82" s="426"/>
      <c r="J82" s="426"/>
    </row>
    <row r="83" spans="1:10" ht="63.75">
      <c r="A83" s="441" t="s">
        <v>104</v>
      </c>
      <c r="B83" s="442" t="s">
        <v>548</v>
      </c>
      <c r="C83" s="442" t="s">
        <v>218</v>
      </c>
      <c r="D83" s="443" t="s">
        <v>464</v>
      </c>
      <c r="E83" s="443">
        <v>100</v>
      </c>
      <c r="F83" s="444">
        <f>125000+1900</f>
        <v>126900</v>
      </c>
      <c r="G83" s="444">
        <f>125000+1900</f>
        <v>126900</v>
      </c>
      <c r="I83" s="426"/>
      <c r="J83" s="426"/>
    </row>
    <row r="84" spans="1:10" ht="25.5">
      <c r="A84" s="449" t="s">
        <v>482</v>
      </c>
      <c r="B84" s="450" t="s">
        <v>548</v>
      </c>
      <c r="C84" s="450" t="s">
        <v>218</v>
      </c>
      <c r="D84" s="451" t="s">
        <v>464</v>
      </c>
      <c r="E84" s="451">
        <v>200</v>
      </c>
      <c r="F84" s="452">
        <v>21100</v>
      </c>
      <c r="G84" s="452">
        <v>21100</v>
      </c>
      <c r="I84" s="426"/>
      <c r="J84" s="426"/>
    </row>
    <row r="85" spans="1:10" ht="12.75">
      <c r="A85" s="422" t="s">
        <v>539</v>
      </c>
      <c r="B85" s="423" t="s">
        <v>550</v>
      </c>
      <c r="C85" s="453" t="s">
        <v>912</v>
      </c>
      <c r="D85" s="423" t="s">
        <v>99</v>
      </c>
      <c r="E85" s="423" t="s">
        <v>99</v>
      </c>
      <c r="F85" s="425">
        <f aca="true" t="shared" si="7" ref="F85:G89">F86</f>
        <v>5700</v>
      </c>
      <c r="G85" s="425">
        <f t="shared" si="7"/>
        <v>5700</v>
      </c>
      <c r="I85" s="426"/>
      <c r="J85" s="426"/>
    </row>
    <row r="86" spans="1:10" ht="12.75">
      <c r="A86" s="427" t="s">
        <v>538</v>
      </c>
      <c r="B86" s="428" t="s">
        <v>550</v>
      </c>
      <c r="C86" s="428" t="s">
        <v>551</v>
      </c>
      <c r="D86" s="454" t="s">
        <v>99</v>
      </c>
      <c r="E86" s="454" t="s">
        <v>99</v>
      </c>
      <c r="F86" s="429">
        <f t="shared" si="7"/>
        <v>5700</v>
      </c>
      <c r="G86" s="429">
        <f t="shared" si="7"/>
        <v>5700</v>
      </c>
      <c r="I86" s="426"/>
      <c r="J86" s="426"/>
    </row>
    <row r="87" spans="1:10" ht="38.25">
      <c r="A87" s="430" t="s">
        <v>537</v>
      </c>
      <c r="B87" s="431" t="s">
        <v>550</v>
      </c>
      <c r="C87" s="431" t="s">
        <v>551</v>
      </c>
      <c r="D87" s="436" t="s">
        <v>536</v>
      </c>
      <c r="E87" s="438" t="s">
        <v>99</v>
      </c>
      <c r="F87" s="429">
        <f t="shared" si="7"/>
        <v>5700</v>
      </c>
      <c r="G87" s="429">
        <f t="shared" si="7"/>
        <v>5700</v>
      </c>
      <c r="I87" s="426"/>
      <c r="J87" s="426"/>
    </row>
    <row r="88" spans="1:10" ht="16.5" customHeight="1">
      <c r="A88" s="430" t="s">
        <v>535</v>
      </c>
      <c r="B88" s="431" t="s">
        <v>550</v>
      </c>
      <c r="C88" s="431" t="s">
        <v>551</v>
      </c>
      <c r="D88" s="436" t="s">
        <v>534</v>
      </c>
      <c r="E88" s="438"/>
      <c r="F88" s="429">
        <f t="shared" si="7"/>
        <v>5700</v>
      </c>
      <c r="G88" s="429">
        <f t="shared" si="7"/>
        <v>5700</v>
      </c>
      <c r="I88" s="426"/>
      <c r="J88" s="426"/>
    </row>
    <row r="89" spans="1:10" ht="25.5">
      <c r="A89" s="25" t="s">
        <v>533</v>
      </c>
      <c r="B89" s="431" t="s">
        <v>550</v>
      </c>
      <c r="C89" s="431" t="s">
        <v>551</v>
      </c>
      <c r="D89" s="436" t="s">
        <v>532</v>
      </c>
      <c r="E89" s="447" t="s">
        <v>99</v>
      </c>
      <c r="F89" s="429">
        <f t="shared" si="7"/>
        <v>5700</v>
      </c>
      <c r="G89" s="429">
        <f t="shared" si="7"/>
        <v>5700</v>
      </c>
      <c r="I89" s="426"/>
      <c r="J89" s="426"/>
    </row>
    <row r="90" spans="1:10" ht="25.5">
      <c r="A90" s="455" t="s">
        <v>103</v>
      </c>
      <c r="B90" s="456" t="s">
        <v>550</v>
      </c>
      <c r="C90" s="456" t="s">
        <v>551</v>
      </c>
      <c r="D90" s="457" t="s">
        <v>532</v>
      </c>
      <c r="E90" s="456">
        <v>200</v>
      </c>
      <c r="F90" s="458">
        <v>5700</v>
      </c>
      <c r="G90" s="458">
        <v>5700</v>
      </c>
      <c r="I90" s="426"/>
      <c r="J90" s="426"/>
    </row>
    <row r="91" spans="1:10" ht="25.5">
      <c r="A91" s="422" t="s">
        <v>471</v>
      </c>
      <c r="B91" s="423" t="s">
        <v>219</v>
      </c>
      <c r="C91" s="453" t="s">
        <v>912</v>
      </c>
      <c r="D91" s="423" t="s">
        <v>99</v>
      </c>
      <c r="E91" s="423" t="s">
        <v>99</v>
      </c>
      <c r="F91" s="425">
        <f aca="true" t="shared" si="8" ref="F91:G95">F92</f>
        <v>1208827</v>
      </c>
      <c r="G91" s="425">
        <f t="shared" si="8"/>
        <v>1172605</v>
      </c>
      <c r="I91" s="426"/>
      <c r="J91" s="426"/>
    </row>
    <row r="92" spans="1:10" ht="39" customHeight="1">
      <c r="A92" s="427" t="s">
        <v>505</v>
      </c>
      <c r="B92" s="428" t="s">
        <v>219</v>
      </c>
      <c r="C92" s="428" t="s">
        <v>220</v>
      </c>
      <c r="D92" s="428" t="s">
        <v>99</v>
      </c>
      <c r="E92" s="428" t="s">
        <v>99</v>
      </c>
      <c r="F92" s="429">
        <f t="shared" si="8"/>
        <v>1208827</v>
      </c>
      <c r="G92" s="429">
        <f t="shared" si="8"/>
        <v>1172605</v>
      </c>
      <c r="I92" s="426"/>
      <c r="J92" s="426"/>
    </row>
    <row r="93" spans="1:10" ht="65.25" customHeight="1">
      <c r="A93" s="434" t="s">
        <v>57</v>
      </c>
      <c r="B93" s="431" t="s">
        <v>219</v>
      </c>
      <c r="C93" s="431" t="s">
        <v>220</v>
      </c>
      <c r="D93" s="436" t="s">
        <v>825</v>
      </c>
      <c r="E93" s="431" t="s">
        <v>99</v>
      </c>
      <c r="F93" s="429">
        <f t="shared" si="8"/>
        <v>1208827</v>
      </c>
      <c r="G93" s="429">
        <f t="shared" si="8"/>
        <v>1172605</v>
      </c>
      <c r="I93" s="426"/>
      <c r="J93" s="426"/>
    </row>
    <row r="94" spans="1:10" ht="89.25">
      <c r="A94" s="29" t="s">
        <v>455</v>
      </c>
      <c r="B94" s="431" t="s">
        <v>219</v>
      </c>
      <c r="C94" s="431" t="s">
        <v>220</v>
      </c>
      <c r="D94" s="436" t="s">
        <v>826</v>
      </c>
      <c r="E94" s="431"/>
      <c r="F94" s="429">
        <f t="shared" si="8"/>
        <v>1208827</v>
      </c>
      <c r="G94" s="429">
        <f t="shared" si="8"/>
        <v>1172605</v>
      </c>
      <c r="I94" s="426"/>
      <c r="J94" s="426"/>
    </row>
    <row r="95" spans="1:10" ht="76.5">
      <c r="A95" s="22" t="s">
        <v>429</v>
      </c>
      <c r="B95" s="431" t="s">
        <v>219</v>
      </c>
      <c r="C95" s="431" t="s">
        <v>220</v>
      </c>
      <c r="D95" s="436" t="s">
        <v>831</v>
      </c>
      <c r="E95" s="431"/>
      <c r="F95" s="429">
        <f t="shared" si="8"/>
        <v>1208827</v>
      </c>
      <c r="G95" s="429">
        <f t="shared" si="8"/>
        <v>1172605</v>
      </c>
      <c r="I95" s="426"/>
      <c r="J95" s="426"/>
    </row>
    <row r="96" spans="1:10" ht="25.5">
      <c r="A96" s="432" t="s">
        <v>126</v>
      </c>
      <c r="B96" s="431" t="s">
        <v>219</v>
      </c>
      <c r="C96" s="431" t="s">
        <v>220</v>
      </c>
      <c r="D96" s="436" t="s">
        <v>832</v>
      </c>
      <c r="E96" s="431" t="s">
        <v>99</v>
      </c>
      <c r="F96" s="429">
        <f>SUM(F97:F99)</f>
        <v>1208827</v>
      </c>
      <c r="G96" s="429">
        <f>SUM(G97:G99)</f>
        <v>1172605</v>
      </c>
      <c r="I96" s="426"/>
      <c r="J96" s="426"/>
    </row>
    <row r="97" spans="1:10" ht="63.75">
      <c r="A97" s="430" t="s">
        <v>104</v>
      </c>
      <c r="B97" s="431" t="s">
        <v>219</v>
      </c>
      <c r="C97" s="431" t="s">
        <v>220</v>
      </c>
      <c r="D97" s="436" t="s">
        <v>832</v>
      </c>
      <c r="E97" s="431" t="s">
        <v>27</v>
      </c>
      <c r="F97" s="433">
        <f>845467+224882+36222</f>
        <v>1106571</v>
      </c>
      <c r="G97" s="433">
        <f>845467+224882</f>
        <v>1070349</v>
      </c>
      <c r="I97" s="426"/>
      <c r="J97" s="426"/>
    </row>
    <row r="98" spans="1:10" ht="25.5">
      <c r="A98" s="430" t="s">
        <v>482</v>
      </c>
      <c r="B98" s="431" t="s">
        <v>219</v>
      </c>
      <c r="C98" s="431" t="s">
        <v>220</v>
      </c>
      <c r="D98" s="436" t="s">
        <v>832</v>
      </c>
      <c r="E98" s="431" t="s">
        <v>600</v>
      </c>
      <c r="F98" s="433">
        <f>93879+6554</f>
        <v>100433</v>
      </c>
      <c r="G98" s="433">
        <f>93879+6554</f>
        <v>100433</v>
      </c>
      <c r="I98" s="426"/>
      <c r="J98" s="426"/>
    </row>
    <row r="99" spans="1:10" ht="12.75">
      <c r="A99" s="455" t="s">
        <v>89</v>
      </c>
      <c r="B99" s="456" t="s">
        <v>219</v>
      </c>
      <c r="C99" s="456" t="s">
        <v>220</v>
      </c>
      <c r="D99" s="457" t="s">
        <v>832</v>
      </c>
      <c r="E99" s="456" t="s">
        <v>90</v>
      </c>
      <c r="F99" s="458">
        <v>1823</v>
      </c>
      <c r="G99" s="458">
        <v>1823</v>
      </c>
      <c r="I99" s="426"/>
      <c r="J99" s="426"/>
    </row>
    <row r="100" spans="1:10" ht="12.75">
      <c r="A100" s="422" t="s">
        <v>506</v>
      </c>
      <c r="B100" s="423" t="s">
        <v>551</v>
      </c>
      <c r="C100" s="453" t="s">
        <v>912</v>
      </c>
      <c r="D100" s="423" t="s">
        <v>99</v>
      </c>
      <c r="E100" s="423" t="s">
        <v>99</v>
      </c>
      <c r="F100" s="425">
        <f>F101+F112</f>
        <v>3003025</v>
      </c>
      <c r="G100" s="425">
        <f>G101+G112</f>
        <v>3001358</v>
      </c>
      <c r="I100" s="426"/>
      <c r="J100" s="426"/>
    </row>
    <row r="101" spans="1:10" ht="12.75">
      <c r="A101" s="427" t="s">
        <v>507</v>
      </c>
      <c r="B101" s="428" t="s">
        <v>551</v>
      </c>
      <c r="C101" s="428" t="s">
        <v>548</v>
      </c>
      <c r="D101" s="428" t="s">
        <v>99</v>
      </c>
      <c r="E101" s="428" t="s">
        <v>99</v>
      </c>
      <c r="F101" s="429">
        <f>F102</f>
        <v>346933</v>
      </c>
      <c r="G101" s="429">
        <f>G102</f>
        <v>345266</v>
      </c>
      <c r="I101" s="426"/>
      <c r="J101" s="426"/>
    </row>
    <row r="102" spans="1:10" ht="38.25">
      <c r="A102" s="434" t="s">
        <v>449</v>
      </c>
      <c r="B102" s="431" t="s">
        <v>551</v>
      </c>
      <c r="C102" s="431" t="s">
        <v>548</v>
      </c>
      <c r="D102" s="436" t="s">
        <v>827</v>
      </c>
      <c r="E102" s="431" t="s">
        <v>99</v>
      </c>
      <c r="F102" s="429">
        <f>F103+F107</f>
        <v>346933</v>
      </c>
      <c r="G102" s="429">
        <f>G103+G107</f>
        <v>345266</v>
      </c>
      <c r="I102" s="426"/>
      <c r="J102" s="426"/>
    </row>
    <row r="103" spans="1:10" ht="63.75">
      <c r="A103" s="435" t="s">
        <v>18</v>
      </c>
      <c r="B103" s="431" t="s">
        <v>551</v>
      </c>
      <c r="C103" s="431" t="s">
        <v>548</v>
      </c>
      <c r="D103" s="436" t="s">
        <v>828</v>
      </c>
      <c r="E103" s="431"/>
      <c r="F103" s="429">
        <f aca="true" t="shared" si="9" ref="F103:G105">F104</f>
        <v>50933</v>
      </c>
      <c r="G103" s="429">
        <f t="shared" si="9"/>
        <v>49266</v>
      </c>
      <c r="I103" s="426"/>
      <c r="J103" s="426"/>
    </row>
    <row r="104" spans="1:10" ht="51">
      <c r="A104" s="23" t="s">
        <v>531</v>
      </c>
      <c r="B104" s="431" t="s">
        <v>551</v>
      </c>
      <c r="C104" s="431" t="s">
        <v>548</v>
      </c>
      <c r="D104" s="436" t="s">
        <v>829</v>
      </c>
      <c r="E104" s="431"/>
      <c r="F104" s="429">
        <f t="shared" si="9"/>
        <v>50933</v>
      </c>
      <c r="G104" s="429">
        <f t="shared" si="9"/>
        <v>49266</v>
      </c>
      <c r="I104" s="426"/>
      <c r="J104" s="426"/>
    </row>
    <row r="105" spans="1:10" ht="25.5">
      <c r="A105" s="430" t="s">
        <v>448</v>
      </c>
      <c r="B105" s="431" t="s">
        <v>551</v>
      </c>
      <c r="C105" s="431" t="s">
        <v>548</v>
      </c>
      <c r="D105" s="436" t="s">
        <v>830</v>
      </c>
      <c r="E105" s="431"/>
      <c r="F105" s="429">
        <f t="shared" si="9"/>
        <v>50933</v>
      </c>
      <c r="G105" s="429">
        <f t="shared" si="9"/>
        <v>49266</v>
      </c>
      <c r="I105" s="426"/>
      <c r="J105" s="426"/>
    </row>
    <row r="106" spans="1:10" ht="38.25">
      <c r="A106" s="430" t="s">
        <v>102</v>
      </c>
      <c r="B106" s="431" t="s">
        <v>551</v>
      </c>
      <c r="C106" s="431" t="s">
        <v>548</v>
      </c>
      <c r="D106" s="436" t="s">
        <v>830</v>
      </c>
      <c r="E106" s="431">
        <v>600</v>
      </c>
      <c r="F106" s="433">
        <f>38709+10557+1667</f>
        <v>50933</v>
      </c>
      <c r="G106" s="433">
        <f>38709+10557</f>
        <v>49266</v>
      </c>
      <c r="I106" s="426"/>
      <c r="J106" s="426"/>
    </row>
    <row r="107" spans="1:10" ht="51">
      <c r="A107" s="435" t="s">
        <v>20</v>
      </c>
      <c r="B107" s="431" t="s">
        <v>551</v>
      </c>
      <c r="C107" s="431" t="s">
        <v>548</v>
      </c>
      <c r="D107" s="436" t="s">
        <v>833</v>
      </c>
      <c r="E107" s="431"/>
      <c r="F107" s="429">
        <f>F108</f>
        <v>296000</v>
      </c>
      <c r="G107" s="429">
        <f>G108</f>
        <v>296000</v>
      </c>
      <c r="I107" s="426"/>
      <c r="J107" s="426"/>
    </row>
    <row r="108" spans="1:10" ht="63.75">
      <c r="A108" s="22" t="s">
        <v>903</v>
      </c>
      <c r="B108" s="431" t="s">
        <v>551</v>
      </c>
      <c r="C108" s="431" t="s">
        <v>548</v>
      </c>
      <c r="D108" s="436" t="s">
        <v>834</v>
      </c>
      <c r="E108" s="431"/>
      <c r="F108" s="429">
        <f>F109</f>
        <v>296000</v>
      </c>
      <c r="G108" s="429">
        <f>G109</f>
        <v>296000</v>
      </c>
      <c r="I108" s="426"/>
      <c r="J108" s="426"/>
    </row>
    <row r="109" spans="1:10" ht="25.5">
      <c r="A109" s="432" t="s">
        <v>469</v>
      </c>
      <c r="B109" s="431" t="s">
        <v>551</v>
      </c>
      <c r="C109" s="431" t="s">
        <v>548</v>
      </c>
      <c r="D109" s="436" t="s">
        <v>835</v>
      </c>
      <c r="E109" s="438" t="s">
        <v>99</v>
      </c>
      <c r="F109" s="429">
        <f>SUM(F110:F111)</f>
        <v>296000</v>
      </c>
      <c r="G109" s="429">
        <f>SUM(G110:G111)</f>
        <v>296000</v>
      </c>
      <c r="I109" s="426"/>
      <c r="J109" s="426"/>
    </row>
    <row r="110" spans="1:10" ht="63.75">
      <c r="A110" s="430" t="s">
        <v>104</v>
      </c>
      <c r="B110" s="431" t="s">
        <v>551</v>
      </c>
      <c r="C110" s="431" t="s">
        <v>548</v>
      </c>
      <c r="D110" s="436" t="s">
        <v>835</v>
      </c>
      <c r="E110" s="431">
        <v>100</v>
      </c>
      <c r="F110" s="433">
        <f>291500+3800</f>
        <v>295300</v>
      </c>
      <c r="G110" s="433">
        <f>291500+3800</f>
        <v>295300</v>
      </c>
      <c r="I110" s="426"/>
      <c r="J110" s="426"/>
    </row>
    <row r="111" spans="1:10" ht="25.5">
      <c r="A111" s="430" t="s">
        <v>482</v>
      </c>
      <c r="B111" s="431" t="s">
        <v>551</v>
      </c>
      <c r="C111" s="431" t="s">
        <v>548</v>
      </c>
      <c r="D111" s="436" t="s">
        <v>835</v>
      </c>
      <c r="E111" s="431">
        <v>200</v>
      </c>
      <c r="F111" s="433">
        <v>700</v>
      </c>
      <c r="G111" s="433">
        <v>700</v>
      </c>
      <c r="I111" s="426"/>
      <c r="J111" s="426"/>
    </row>
    <row r="112" spans="1:10" ht="12.75">
      <c r="A112" s="427" t="s">
        <v>98</v>
      </c>
      <c r="B112" s="428" t="s">
        <v>551</v>
      </c>
      <c r="C112" s="428" t="s">
        <v>220</v>
      </c>
      <c r="D112" s="454" t="s">
        <v>99</v>
      </c>
      <c r="E112" s="454" t="s">
        <v>99</v>
      </c>
      <c r="F112" s="429">
        <f>F113</f>
        <v>2656092</v>
      </c>
      <c r="G112" s="429">
        <f>G113</f>
        <v>2656092</v>
      </c>
      <c r="I112" s="426"/>
      <c r="J112" s="426"/>
    </row>
    <row r="113" spans="1:10" ht="76.5">
      <c r="A113" s="434" t="s">
        <v>479</v>
      </c>
      <c r="B113" s="431" t="s">
        <v>551</v>
      </c>
      <c r="C113" s="431" t="s">
        <v>220</v>
      </c>
      <c r="D113" s="436" t="s">
        <v>836</v>
      </c>
      <c r="E113" s="438" t="s">
        <v>99</v>
      </c>
      <c r="F113" s="429">
        <f>F114+F121</f>
        <v>2656092</v>
      </c>
      <c r="G113" s="429">
        <f>G114+G121</f>
        <v>2656092</v>
      </c>
      <c r="I113" s="426"/>
      <c r="J113" s="426"/>
    </row>
    <row r="114" spans="1:10" ht="89.25">
      <c r="A114" s="15" t="s">
        <v>530</v>
      </c>
      <c r="B114" s="431" t="s">
        <v>551</v>
      </c>
      <c r="C114" s="431" t="s">
        <v>220</v>
      </c>
      <c r="D114" s="437" t="s">
        <v>488</v>
      </c>
      <c r="E114" s="447" t="s">
        <v>99</v>
      </c>
      <c r="F114" s="429">
        <f>F115+F118</f>
        <v>2156092</v>
      </c>
      <c r="G114" s="429">
        <f>G115+G118</f>
        <v>2156092</v>
      </c>
      <c r="I114" s="426"/>
      <c r="J114" s="426"/>
    </row>
    <row r="115" spans="1:10" ht="38.25">
      <c r="A115" s="23" t="s">
        <v>487</v>
      </c>
      <c r="B115" s="431" t="s">
        <v>551</v>
      </c>
      <c r="C115" s="431" t="s">
        <v>220</v>
      </c>
      <c r="D115" s="436" t="s">
        <v>486</v>
      </c>
      <c r="E115" s="447"/>
      <c r="F115" s="429">
        <f>F116</f>
        <v>186564</v>
      </c>
      <c r="G115" s="429">
        <f>G116</f>
        <v>186564</v>
      </c>
      <c r="I115" s="426"/>
      <c r="J115" s="426"/>
    </row>
    <row r="116" spans="1:10" ht="38.25">
      <c r="A116" s="26" t="s">
        <v>838</v>
      </c>
      <c r="B116" s="431" t="s">
        <v>551</v>
      </c>
      <c r="C116" s="431" t="s">
        <v>220</v>
      </c>
      <c r="D116" s="436" t="s">
        <v>485</v>
      </c>
      <c r="E116" s="447"/>
      <c r="F116" s="429">
        <f>F117</f>
        <v>186564</v>
      </c>
      <c r="G116" s="429">
        <f>G117</f>
        <v>186564</v>
      </c>
      <c r="I116" s="426"/>
      <c r="J116" s="426"/>
    </row>
    <row r="117" spans="1:10" ht="12.75">
      <c r="A117" s="430" t="s">
        <v>89</v>
      </c>
      <c r="B117" s="431" t="s">
        <v>551</v>
      </c>
      <c r="C117" s="431" t="s">
        <v>220</v>
      </c>
      <c r="D117" s="436" t="s">
        <v>485</v>
      </c>
      <c r="E117" s="432">
        <v>800</v>
      </c>
      <c r="F117" s="433">
        <v>186564</v>
      </c>
      <c r="G117" s="433">
        <v>186564</v>
      </c>
      <c r="I117" s="426"/>
      <c r="J117" s="426"/>
    </row>
    <row r="118" spans="1:10" ht="38.25">
      <c r="A118" s="23" t="s">
        <v>484</v>
      </c>
      <c r="B118" s="431" t="s">
        <v>551</v>
      </c>
      <c r="C118" s="431" t="s">
        <v>220</v>
      </c>
      <c r="D118" s="436" t="s">
        <v>420</v>
      </c>
      <c r="E118" s="447"/>
      <c r="F118" s="429">
        <f>F119</f>
        <v>1969528</v>
      </c>
      <c r="G118" s="429">
        <f>G119</f>
        <v>1969528</v>
      </c>
      <c r="I118" s="426"/>
      <c r="J118" s="426"/>
    </row>
    <row r="119" spans="1:10" ht="38.25">
      <c r="A119" s="25" t="s">
        <v>838</v>
      </c>
      <c r="B119" s="431" t="s">
        <v>551</v>
      </c>
      <c r="C119" s="431" t="s">
        <v>220</v>
      </c>
      <c r="D119" s="436" t="s">
        <v>491</v>
      </c>
      <c r="E119" s="431" t="s">
        <v>99</v>
      </c>
      <c r="F119" s="429">
        <f>F120</f>
        <v>1969528</v>
      </c>
      <c r="G119" s="429">
        <f>G120</f>
        <v>1969528</v>
      </c>
      <c r="I119" s="426"/>
      <c r="J119" s="426"/>
    </row>
    <row r="120" spans="1:10" ht="25.5">
      <c r="A120" s="430" t="s">
        <v>482</v>
      </c>
      <c r="B120" s="431" t="s">
        <v>551</v>
      </c>
      <c r="C120" s="431" t="s">
        <v>220</v>
      </c>
      <c r="D120" s="436" t="s">
        <v>491</v>
      </c>
      <c r="E120" s="431">
        <v>200</v>
      </c>
      <c r="F120" s="433">
        <v>1969528</v>
      </c>
      <c r="G120" s="433">
        <v>1969528</v>
      </c>
      <c r="I120" s="426"/>
      <c r="J120" s="426"/>
    </row>
    <row r="121" spans="1:10" ht="89.25">
      <c r="A121" s="29" t="s">
        <v>0</v>
      </c>
      <c r="B121" s="459" t="s">
        <v>551</v>
      </c>
      <c r="C121" s="459" t="s">
        <v>220</v>
      </c>
      <c r="D121" s="460" t="s">
        <v>837</v>
      </c>
      <c r="E121" s="459"/>
      <c r="F121" s="429">
        <f aca="true" t="shared" si="10" ref="F121:G123">F122</f>
        <v>500000</v>
      </c>
      <c r="G121" s="429">
        <f t="shared" si="10"/>
        <v>500000</v>
      </c>
      <c r="I121" s="426"/>
      <c r="J121" s="426"/>
    </row>
    <row r="122" spans="1:10" ht="76.5">
      <c r="A122" s="23" t="s">
        <v>216</v>
      </c>
      <c r="B122" s="459" t="s">
        <v>551</v>
      </c>
      <c r="C122" s="459" t="s">
        <v>220</v>
      </c>
      <c r="D122" s="461" t="s">
        <v>1</v>
      </c>
      <c r="E122" s="459"/>
      <c r="F122" s="429">
        <f t="shared" si="10"/>
        <v>500000</v>
      </c>
      <c r="G122" s="429">
        <f t="shared" si="10"/>
        <v>500000</v>
      </c>
      <c r="I122" s="426"/>
      <c r="J122" s="426"/>
    </row>
    <row r="123" spans="1:10" ht="25.5">
      <c r="A123" s="26" t="s">
        <v>32</v>
      </c>
      <c r="B123" s="459" t="s">
        <v>551</v>
      </c>
      <c r="C123" s="459" t="s">
        <v>220</v>
      </c>
      <c r="D123" s="461" t="s">
        <v>31</v>
      </c>
      <c r="E123" s="459"/>
      <c r="F123" s="429">
        <f t="shared" si="10"/>
        <v>500000</v>
      </c>
      <c r="G123" s="429">
        <f t="shared" si="10"/>
        <v>500000</v>
      </c>
      <c r="I123" s="426"/>
      <c r="J123" s="426"/>
    </row>
    <row r="124" spans="1:10" ht="12.75">
      <c r="A124" s="462" t="s">
        <v>89</v>
      </c>
      <c r="B124" s="459" t="s">
        <v>551</v>
      </c>
      <c r="C124" s="459" t="s">
        <v>220</v>
      </c>
      <c r="D124" s="461" t="s">
        <v>31</v>
      </c>
      <c r="E124" s="459">
        <v>800</v>
      </c>
      <c r="F124" s="433">
        <v>500000</v>
      </c>
      <c r="G124" s="433">
        <v>500000</v>
      </c>
      <c r="I124" s="426"/>
      <c r="J124" s="426"/>
    </row>
    <row r="125" spans="1:10" ht="12.75">
      <c r="A125" s="422" t="s">
        <v>143</v>
      </c>
      <c r="B125" s="423" t="s">
        <v>767</v>
      </c>
      <c r="C125" s="453" t="s">
        <v>912</v>
      </c>
      <c r="D125" s="423" t="s">
        <v>99</v>
      </c>
      <c r="E125" s="423" t="s">
        <v>99</v>
      </c>
      <c r="F125" s="425">
        <f>F126+F132+F143</f>
        <v>7672891</v>
      </c>
      <c r="G125" s="425">
        <f>G126+G132+G143</f>
        <v>3770795</v>
      </c>
      <c r="I125" s="426"/>
      <c r="J125" s="426"/>
    </row>
    <row r="126" spans="1:10" ht="12.75">
      <c r="A126" s="427" t="s">
        <v>490</v>
      </c>
      <c r="B126" s="428" t="s">
        <v>767</v>
      </c>
      <c r="C126" s="463" t="s">
        <v>548</v>
      </c>
      <c r="D126" s="464"/>
      <c r="E126" s="464"/>
      <c r="F126" s="429">
        <f aca="true" t="shared" si="11" ref="F126:G129">F127</f>
        <v>200000</v>
      </c>
      <c r="G126" s="429">
        <f t="shared" si="11"/>
        <v>200000</v>
      </c>
      <c r="I126" s="426"/>
      <c r="J126" s="426"/>
    </row>
    <row r="127" spans="1:10" ht="63.75">
      <c r="A127" s="434" t="s">
        <v>480</v>
      </c>
      <c r="B127" s="431" t="s">
        <v>767</v>
      </c>
      <c r="C127" s="465" t="s">
        <v>548</v>
      </c>
      <c r="D127" s="436" t="s">
        <v>839</v>
      </c>
      <c r="E127" s="464"/>
      <c r="F127" s="429">
        <f t="shared" si="11"/>
        <v>200000</v>
      </c>
      <c r="G127" s="429">
        <f t="shared" si="11"/>
        <v>200000</v>
      </c>
      <c r="I127" s="426"/>
      <c r="J127" s="426"/>
    </row>
    <row r="128" spans="1:10" ht="89.25">
      <c r="A128" s="435" t="s">
        <v>481</v>
      </c>
      <c r="B128" s="431" t="s">
        <v>767</v>
      </c>
      <c r="C128" s="465" t="s">
        <v>548</v>
      </c>
      <c r="D128" s="437" t="s">
        <v>563</v>
      </c>
      <c r="E128" s="464"/>
      <c r="F128" s="429">
        <f t="shared" si="11"/>
        <v>200000</v>
      </c>
      <c r="G128" s="429">
        <f t="shared" si="11"/>
        <v>200000</v>
      </c>
      <c r="I128" s="426"/>
      <c r="J128" s="426"/>
    </row>
    <row r="129" spans="1:10" ht="38.25">
      <c r="A129" s="31" t="s">
        <v>489</v>
      </c>
      <c r="B129" s="431" t="s">
        <v>767</v>
      </c>
      <c r="C129" s="465" t="s">
        <v>548</v>
      </c>
      <c r="D129" s="436" t="s">
        <v>53</v>
      </c>
      <c r="E129" s="464"/>
      <c r="F129" s="429">
        <f t="shared" si="11"/>
        <v>200000</v>
      </c>
      <c r="G129" s="429">
        <f t="shared" si="11"/>
        <v>200000</v>
      </c>
      <c r="I129" s="426"/>
      <c r="J129" s="426"/>
    </row>
    <row r="130" spans="1:10" ht="24">
      <c r="A130" s="28" t="s">
        <v>52</v>
      </c>
      <c r="B130" s="431" t="s">
        <v>767</v>
      </c>
      <c r="C130" s="465" t="s">
        <v>548</v>
      </c>
      <c r="D130" s="436" t="s">
        <v>51</v>
      </c>
      <c r="E130" s="464"/>
      <c r="F130" s="429">
        <f>SUM(F131:F131)</f>
        <v>200000</v>
      </c>
      <c r="G130" s="429">
        <f>SUM(G131:G131)</f>
        <v>200000</v>
      </c>
      <c r="I130" s="426"/>
      <c r="J130" s="426"/>
    </row>
    <row r="131" spans="1:10" ht="25.5">
      <c r="A131" s="430" t="s">
        <v>482</v>
      </c>
      <c r="B131" s="431" t="s">
        <v>767</v>
      </c>
      <c r="C131" s="465" t="s">
        <v>548</v>
      </c>
      <c r="D131" s="436" t="s">
        <v>51</v>
      </c>
      <c r="E131" s="431">
        <v>200</v>
      </c>
      <c r="F131" s="433">
        <v>200000</v>
      </c>
      <c r="G131" s="433">
        <v>200000</v>
      </c>
      <c r="I131" s="426"/>
      <c r="J131" s="426"/>
    </row>
    <row r="132" spans="1:10" ht="12.75">
      <c r="A132" s="435" t="s">
        <v>465</v>
      </c>
      <c r="B132" s="428" t="s">
        <v>767</v>
      </c>
      <c r="C132" s="463" t="s">
        <v>550</v>
      </c>
      <c r="D132" s="464"/>
      <c r="E132" s="464"/>
      <c r="F132" s="429">
        <f>F133+F138</f>
        <v>551451</v>
      </c>
      <c r="G132" s="429">
        <f>G133+G138</f>
        <v>210000</v>
      </c>
      <c r="I132" s="426"/>
      <c r="J132" s="426"/>
    </row>
    <row r="133" spans="1:10" ht="53.25" customHeight="1">
      <c r="A133" s="434" t="s">
        <v>50</v>
      </c>
      <c r="B133" s="465" t="s">
        <v>767</v>
      </c>
      <c r="C133" s="465" t="s">
        <v>550</v>
      </c>
      <c r="D133" s="436" t="s">
        <v>49</v>
      </c>
      <c r="E133" s="464"/>
      <c r="F133" s="429">
        <f>F134</f>
        <v>210000</v>
      </c>
      <c r="G133" s="429">
        <f>G134</f>
        <v>210000</v>
      </c>
      <c r="I133" s="426"/>
      <c r="J133" s="426"/>
    </row>
    <row r="134" spans="1:10" ht="63.75">
      <c r="A134" s="466" t="s">
        <v>48</v>
      </c>
      <c r="B134" s="465" t="s">
        <v>767</v>
      </c>
      <c r="C134" s="465" t="s">
        <v>550</v>
      </c>
      <c r="D134" s="437" t="s">
        <v>525</v>
      </c>
      <c r="E134" s="464"/>
      <c r="F134" s="429">
        <f>F135</f>
        <v>210000</v>
      </c>
      <c r="G134" s="429">
        <f>G135</f>
        <v>210000</v>
      </c>
      <c r="I134" s="426"/>
      <c r="J134" s="426"/>
    </row>
    <row r="135" spans="1:10" ht="25.5">
      <c r="A135" s="22" t="s">
        <v>524</v>
      </c>
      <c r="B135" s="465" t="s">
        <v>767</v>
      </c>
      <c r="C135" s="465" t="s">
        <v>550</v>
      </c>
      <c r="D135" s="436" t="s">
        <v>523</v>
      </c>
      <c r="E135" s="464"/>
      <c r="F135" s="429">
        <f>F137</f>
        <v>210000</v>
      </c>
      <c r="G135" s="429">
        <f>G137</f>
        <v>210000</v>
      </c>
      <c r="I135" s="426"/>
      <c r="J135" s="426"/>
    </row>
    <row r="136" spans="1:10" ht="38.25">
      <c r="A136" s="30" t="s">
        <v>522</v>
      </c>
      <c r="B136" s="465" t="s">
        <v>767</v>
      </c>
      <c r="C136" s="465" t="s">
        <v>550</v>
      </c>
      <c r="D136" s="436" t="s">
        <v>521</v>
      </c>
      <c r="E136" s="464"/>
      <c r="F136" s="429">
        <f>F137</f>
        <v>210000</v>
      </c>
      <c r="G136" s="429">
        <f>G137</f>
        <v>210000</v>
      </c>
      <c r="I136" s="426"/>
      <c r="J136" s="426"/>
    </row>
    <row r="137" spans="1:10" ht="25.5">
      <c r="A137" s="430" t="s">
        <v>482</v>
      </c>
      <c r="B137" s="465" t="s">
        <v>767</v>
      </c>
      <c r="C137" s="465" t="s">
        <v>550</v>
      </c>
      <c r="D137" s="436" t="s">
        <v>521</v>
      </c>
      <c r="E137" s="431">
        <v>200</v>
      </c>
      <c r="F137" s="433">
        <v>210000</v>
      </c>
      <c r="G137" s="433">
        <v>210000</v>
      </c>
      <c r="I137" s="426"/>
      <c r="J137" s="426"/>
    </row>
    <row r="138" spans="1:10" ht="63.75">
      <c r="A138" s="434" t="s">
        <v>480</v>
      </c>
      <c r="B138" s="431" t="s">
        <v>767</v>
      </c>
      <c r="C138" s="465" t="s">
        <v>550</v>
      </c>
      <c r="D138" s="436" t="s">
        <v>839</v>
      </c>
      <c r="E138" s="464"/>
      <c r="F138" s="429">
        <f aca="true" t="shared" si="12" ref="F138:G141">F139</f>
        <v>341451</v>
      </c>
      <c r="G138" s="429">
        <f t="shared" si="12"/>
        <v>0</v>
      </c>
      <c r="I138" s="426"/>
      <c r="J138" s="426"/>
    </row>
    <row r="139" spans="1:10" ht="89.25">
      <c r="A139" s="435" t="s">
        <v>481</v>
      </c>
      <c r="B139" s="431" t="s">
        <v>767</v>
      </c>
      <c r="C139" s="465" t="s">
        <v>550</v>
      </c>
      <c r="D139" s="437" t="s">
        <v>563</v>
      </c>
      <c r="E139" s="464"/>
      <c r="F139" s="429">
        <f t="shared" si="12"/>
        <v>341451</v>
      </c>
      <c r="G139" s="429">
        <f t="shared" si="12"/>
        <v>0</v>
      </c>
      <c r="I139" s="426"/>
      <c r="J139" s="426"/>
    </row>
    <row r="140" spans="1:10" ht="38.25">
      <c r="A140" s="22" t="s">
        <v>520</v>
      </c>
      <c r="B140" s="431" t="s">
        <v>767</v>
      </c>
      <c r="C140" s="465" t="s">
        <v>550</v>
      </c>
      <c r="D140" s="436" t="s">
        <v>529</v>
      </c>
      <c r="E140" s="464"/>
      <c r="F140" s="429">
        <f t="shared" si="12"/>
        <v>341451</v>
      </c>
      <c r="G140" s="429">
        <f t="shared" si="12"/>
        <v>0</v>
      </c>
      <c r="I140" s="426"/>
      <c r="J140" s="426"/>
    </row>
    <row r="141" spans="1:10" ht="25.5">
      <c r="A141" s="430" t="s">
        <v>466</v>
      </c>
      <c r="B141" s="431" t="s">
        <v>767</v>
      </c>
      <c r="C141" s="465" t="s">
        <v>550</v>
      </c>
      <c r="D141" s="436" t="s">
        <v>528</v>
      </c>
      <c r="E141" s="464"/>
      <c r="F141" s="429">
        <f t="shared" si="12"/>
        <v>341451</v>
      </c>
      <c r="G141" s="429">
        <f t="shared" si="12"/>
        <v>0</v>
      </c>
      <c r="I141" s="426"/>
      <c r="J141" s="426"/>
    </row>
    <row r="142" spans="1:10" ht="25.5">
      <c r="A142" s="430" t="s">
        <v>482</v>
      </c>
      <c r="B142" s="431" t="s">
        <v>767</v>
      </c>
      <c r="C142" s="465" t="s">
        <v>550</v>
      </c>
      <c r="D142" s="436" t="s">
        <v>528</v>
      </c>
      <c r="E142" s="431">
        <v>200</v>
      </c>
      <c r="F142" s="433">
        <f>582000-240549</f>
        <v>341451</v>
      </c>
      <c r="G142" s="433">
        <v>0</v>
      </c>
      <c r="I142" s="426"/>
      <c r="J142" s="426"/>
    </row>
    <row r="143" spans="1:10" ht="12.75">
      <c r="A143" s="427" t="s">
        <v>567</v>
      </c>
      <c r="B143" s="428" t="s">
        <v>767</v>
      </c>
      <c r="C143" s="428" t="s">
        <v>219</v>
      </c>
      <c r="D143" s="428" t="s">
        <v>99</v>
      </c>
      <c r="E143" s="428" t="s">
        <v>99</v>
      </c>
      <c r="F143" s="429">
        <f>F144+F150+F154</f>
        <v>6921440</v>
      </c>
      <c r="G143" s="429">
        <f>G144+G150+G154</f>
        <v>3360795</v>
      </c>
      <c r="I143" s="426"/>
      <c r="J143" s="426"/>
    </row>
    <row r="144" spans="1:10" ht="63.75">
      <c r="A144" s="434" t="s">
        <v>480</v>
      </c>
      <c r="B144" s="431" t="s">
        <v>767</v>
      </c>
      <c r="C144" s="431" t="s">
        <v>219</v>
      </c>
      <c r="D144" s="436" t="s">
        <v>839</v>
      </c>
      <c r="E144" s="431" t="s">
        <v>99</v>
      </c>
      <c r="F144" s="429">
        <f aca="true" t="shared" si="13" ref="F144:G146">F145</f>
        <v>6391440</v>
      </c>
      <c r="G144" s="429">
        <f t="shared" si="13"/>
        <v>2830795</v>
      </c>
      <c r="I144" s="426"/>
      <c r="J144" s="426"/>
    </row>
    <row r="145" spans="1:10" ht="89.25">
      <c r="A145" s="435" t="s">
        <v>481</v>
      </c>
      <c r="B145" s="431" t="s">
        <v>767</v>
      </c>
      <c r="C145" s="431" t="s">
        <v>219</v>
      </c>
      <c r="D145" s="437" t="s">
        <v>563</v>
      </c>
      <c r="E145" s="432" t="s">
        <v>99</v>
      </c>
      <c r="F145" s="429">
        <f t="shared" si="13"/>
        <v>6391440</v>
      </c>
      <c r="G145" s="429">
        <f t="shared" si="13"/>
        <v>2830795</v>
      </c>
      <c r="I145" s="426"/>
      <c r="J145" s="426"/>
    </row>
    <row r="146" spans="1:10" ht="38.25">
      <c r="A146" s="31" t="s">
        <v>527</v>
      </c>
      <c r="B146" s="431" t="s">
        <v>767</v>
      </c>
      <c r="C146" s="431" t="s">
        <v>219</v>
      </c>
      <c r="D146" s="436" t="s">
        <v>904</v>
      </c>
      <c r="E146" s="432"/>
      <c r="F146" s="429">
        <f t="shared" si="13"/>
        <v>6391440</v>
      </c>
      <c r="G146" s="429">
        <f t="shared" si="13"/>
        <v>2830795</v>
      </c>
      <c r="I146" s="426"/>
      <c r="J146" s="426"/>
    </row>
    <row r="147" spans="1:10" ht="12.75">
      <c r="A147" s="26" t="s">
        <v>515</v>
      </c>
      <c r="B147" s="431" t="s">
        <v>767</v>
      </c>
      <c r="C147" s="431" t="s">
        <v>219</v>
      </c>
      <c r="D147" s="436" t="s">
        <v>905</v>
      </c>
      <c r="E147" s="431" t="s">
        <v>99</v>
      </c>
      <c r="F147" s="429">
        <f>SUM(F148:F149)</f>
        <v>6391440</v>
      </c>
      <c r="G147" s="429">
        <f>SUM(G148:G149)</f>
        <v>2830795</v>
      </c>
      <c r="I147" s="426"/>
      <c r="J147" s="426"/>
    </row>
    <row r="148" spans="1:10" ht="25.5">
      <c r="A148" s="430" t="s">
        <v>482</v>
      </c>
      <c r="B148" s="431" t="s">
        <v>767</v>
      </c>
      <c r="C148" s="431" t="s">
        <v>219</v>
      </c>
      <c r="D148" s="436" t="s">
        <v>905</v>
      </c>
      <c r="E148" s="431">
        <v>200</v>
      </c>
      <c r="F148" s="433">
        <f>936870+114326</f>
        <v>1051196</v>
      </c>
      <c r="G148" s="433">
        <f>936870+114326</f>
        <v>1051196</v>
      </c>
      <c r="I148" s="426"/>
      <c r="J148" s="426"/>
    </row>
    <row r="149" spans="1:10" ht="12.75">
      <c r="A149" s="430" t="s">
        <v>89</v>
      </c>
      <c r="B149" s="431" t="s">
        <v>767</v>
      </c>
      <c r="C149" s="431" t="s">
        <v>219</v>
      </c>
      <c r="D149" s="436" t="s">
        <v>905</v>
      </c>
      <c r="E149" s="431">
        <v>800</v>
      </c>
      <c r="F149" s="433">
        <f>5099695+240549</f>
        <v>5340244</v>
      </c>
      <c r="G149" s="433">
        <f>1197599+582000</f>
        <v>1779599</v>
      </c>
      <c r="I149" s="426"/>
      <c r="J149" s="426"/>
    </row>
    <row r="150" spans="1:10" ht="63.75">
      <c r="A150" s="434" t="s">
        <v>475</v>
      </c>
      <c r="B150" s="431" t="s">
        <v>767</v>
      </c>
      <c r="C150" s="431" t="s">
        <v>219</v>
      </c>
      <c r="D150" s="436" t="s">
        <v>397</v>
      </c>
      <c r="E150" s="431"/>
      <c r="F150" s="429">
        <f aca="true" t="shared" si="14" ref="F150:G152">F151</f>
        <v>500000</v>
      </c>
      <c r="G150" s="429">
        <f t="shared" si="14"/>
        <v>500000</v>
      </c>
      <c r="I150" s="426"/>
      <c r="J150" s="426"/>
    </row>
    <row r="151" spans="1:10" ht="25.5">
      <c r="A151" s="31" t="s">
        <v>690</v>
      </c>
      <c r="B151" s="431" t="s">
        <v>767</v>
      </c>
      <c r="C151" s="431" t="s">
        <v>219</v>
      </c>
      <c r="D151" s="436" t="s">
        <v>689</v>
      </c>
      <c r="E151" s="431"/>
      <c r="F151" s="429">
        <f t="shared" si="14"/>
        <v>500000</v>
      </c>
      <c r="G151" s="429">
        <f t="shared" si="14"/>
        <v>500000</v>
      </c>
      <c r="I151" s="426"/>
      <c r="J151" s="426"/>
    </row>
    <row r="152" spans="1:10" ht="25.5">
      <c r="A152" s="196" t="s">
        <v>692</v>
      </c>
      <c r="B152" s="431" t="s">
        <v>767</v>
      </c>
      <c r="C152" s="431" t="s">
        <v>219</v>
      </c>
      <c r="D152" s="436" t="s">
        <v>691</v>
      </c>
      <c r="E152" s="431"/>
      <c r="F152" s="429">
        <f t="shared" si="14"/>
        <v>500000</v>
      </c>
      <c r="G152" s="429">
        <f t="shared" si="14"/>
        <v>500000</v>
      </c>
      <c r="I152" s="426"/>
      <c r="J152" s="426"/>
    </row>
    <row r="153" spans="1:10" ht="25.5">
      <c r="A153" s="430" t="s">
        <v>482</v>
      </c>
      <c r="B153" s="431" t="s">
        <v>767</v>
      </c>
      <c r="C153" s="431" t="s">
        <v>219</v>
      </c>
      <c r="D153" s="436" t="s">
        <v>691</v>
      </c>
      <c r="E153" s="431">
        <v>200</v>
      </c>
      <c r="F153" s="433">
        <v>500000</v>
      </c>
      <c r="G153" s="433">
        <v>500000</v>
      </c>
      <c r="I153" s="426"/>
      <c r="J153" s="426"/>
    </row>
    <row r="154" spans="1:10" ht="25.5">
      <c r="A154" s="467" t="s">
        <v>391</v>
      </c>
      <c r="B154" s="442" t="s">
        <v>767</v>
      </c>
      <c r="C154" s="442" t="s">
        <v>219</v>
      </c>
      <c r="D154" s="443" t="s">
        <v>820</v>
      </c>
      <c r="E154" s="442"/>
      <c r="F154" s="448">
        <f aca="true" t="shared" si="15" ref="F154:G156">F155</f>
        <v>30000</v>
      </c>
      <c r="G154" s="448">
        <f t="shared" si="15"/>
        <v>30000</v>
      </c>
      <c r="I154" s="426"/>
      <c r="J154" s="426"/>
    </row>
    <row r="155" spans="1:10" ht="25.5">
      <c r="A155" s="445" t="s">
        <v>392</v>
      </c>
      <c r="B155" s="442" t="s">
        <v>767</v>
      </c>
      <c r="C155" s="442" t="s">
        <v>219</v>
      </c>
      <c r="D155" s="443" t="s">
        <v>498</v>
      </c>
      <c r="E155" s="442"/>
      <c r="F155" s="448">
        <f t="shared" si="15"/>
        <v>30000</v>
      </c>
      <c r="G155" s="448">
        <f t="shared" si="15"/>
        <v>30000</v>
      </c>
      <c r="I155" s="426"/>
      <c r="J155" s="426"/>
    </row>
    <row r="156" spans="1:10" ht="25.5">
      <c r="A156" s="441" t="s">
        <v>499</v>
      </c>
      <c r="B156" s="442" t="s">
        <v>767</v>
      </c>
      <c r="C156" s="442" t="s">
        <v>219</v>
      </c>
      <c r="D156" s="443" t="s">
        <v>504</v>
      </c>
      <c r="E156" s="442"/>
      <c r="F156" s="448">
        <f t="shared" si="15"/>
        <v>30000</v>
      </c>
      <c r="G156" s="448">
        <f t="shared" si="15"/>
        <v>30000</v>
      </c>
      <c r="I156" s="426"/>
      <c r="J156" s="426"/>
    </row>
    <row r="157" spans="1:10" ht="25.5">
      <c r="A157" s="455" t="s">
        <v>482</v>
      </c>
      <c r="B157" s="450" t="s">
        <v>767</v>
      </c>
      <c r="C157" s="450" t="s">
        <v>219</v>
      </c>
      <c r="D157" s="451" t="s">
        <v>504</v>
      </c>
      <c r="E157" s="450">
        <v>200</v>
      </c>
      <c r="F157" s="468">
        <v>30000</v>
      </c>
      <c r="G157" s="468">
        <v>30000</v>
      </c>
      <c r="I157" s="426"/>
      <c r="J157" s="426"/>
    </row>
    <row r="158" spans="1:10" ht="12.75">
      <c r="A158" s="422" t="s">
        <v>568</v>
      </c>
      <c r="B158" s="423" t="s">
        <v>768</v>
      </c>
      <c r="C158" s="453" t="s">
        <v>912</v>
      </c>
      <c r="D158" s="423" t="s">
        <v>99</v>
      </c>
      <c r="E158" s="423" t="s">
        <v>99</v>
      </c>
      <c r="F158" s="469">
        <f>F159+F173+F186+F194+F206</f>
        <v>169101188.5</v>
      </c>
      <c r="G158" s="469">
        <f>G159+G173+G186+G194+G206</f>
        <v>168195279.5</v>
      </c>
      <c r="I158" s="426"/>
      <c r="J158" s="426"/>
    </row>
    <row r="159" spans="1:10" ht="12.75">
      <c r="A159" s="427" t="s">
        <v>569</v>
      </c>
      <c r="B159" s="428" t="s">
        <v>768</v>
      </c>
      <c r="C159" s="428" t="s">
        <v>548</v>
      </c>
      <c r="D159" s="428" t="s">
        <v>99</v>
      </c>
      <c r="E159" s="428" t="s">
        <v>99</v>
      </c>
      <c r="F159" s="470">
        <f>F160</f>
        <v>69920403</v>
      </c>
      <c r="G159" s="470">
        <f>G160</f>
        <v>69623201</v>
      </c>
      <c r="I159" s="426"/>
      <c r="J159" s="426"/>
    </row>
    <row r="160" spans="1:10" ht="38.25">
      <c r="A160" s="434" t="s">
        <v>60</v>
      </c>
      <c r="B160" s="431" t="s">
        <v>768</v>
      </c>
      <c r="C160" s="431" t="s">
        <v>548</v>
      </c>
      <c r="D160" s="436" t="s">
        <v>564</v>
      </c>
      <c r="E160" s="431" t="s">
        <v>99</v>
      </c>
      <c r="F160" s="429">
        <f>F161</f>
        <v>69920403</v>
      </c>
      <c r="G160" s="429">
        <f>G161</f>
        <v>69623201</v>
      </c>
      <c r="I160" s="426"/>
      <c r="J160" s="426"/>
    </row>
    <row r="161" spans="1:10" ht="51">
      <c r="A161" s="435" t="s">
        <v>59</v>
      </c>
      <c r="B161" s="431" t="s">
        <v>768</v>
      </c>
      <c r="C161" s="431" t="s">
        <v>548</v>
      </c>
      <c r="D161" s="437" t="s">
        <v>565</v>
      </c>
      <c r="E161" s="432" t="s">
        <v>99</v>
      </c>
      <c r="F161" s="429">
        <f>F162+F170</f>
        <v>69920403</v>
      </c>
      <c r="G161" s="429">
        <f>G162+G170</f>
        <v>69623201</v>
      </c>
      <c r="I161" s="426"/>
      <c r="J161" s="426"/>
    </row>
    <row r="162" spans="1:10" ht="25.5">
      <c r="A162" s="22" t="s">
        <v>906</v>
      </c>
      <c r="B162" s="431" t="s">
        <v>768</v>
      </c>
      <c r="C162" s="431" t="s">
        <v>548</v>
      </c>
      <c r="D162" s="436" t="s">
        <v>566</v>
      </c>
      <c r="E162" s="432"/>
      <c r="F162" s="429">
        <f>F163+F166</f>
        <v>69720403</v>
      </c>
      <c r="G162" s="429">
        <f>G163+G166</f>
        <v>69423201</v>
      </c>
      <c r="I162" s="426"/>
      <c r="J162" s="426"/>
    </row>
    <row r="163" spans="1:10" ht="114.75">
      <c r="A163" s="16" t="s">
        <v>630</v>
      </c>
      <c r="B163" s="431" t="s">
        <v>768</v>
      </c>
      <c r="C163" s="431" t="s">
        <v>548</v>
      </c>
      <c r="D163" s="436" t="s">
        <v>631</v>
      </c>
      <c r="E163" s="431" t="s">
        <v>99</v>
      </c>
      <c r="F163" s="429">
        <f>SUM(F164:F165)</f>
        <v>38143787</v>
      </c>
      <c r="G163" s="429">
        <f>SUM(G164:G165)</f>
        <v>38143787</v>
      </c>
      <c r="I163" s="426"/>
      <c r="J163" s="426"/>
    </row>
    <row r="164" spans="1:10" ht="63.75">
      <c r="A164" s="430" t="s">
        <v>104</v>
      </c>
      <c r="B164" s="431" t="s">
        <v>768</v>
      </c>
      <c r="C164" s="431" t="s">
        <v>548</v>
      </c>
      <c r="D164" s="436" t="s">
        <v>631</v>
      </c>
      <c r="E164" s="431" t="s">
        <v>27</v>
      </c>
      <c r="F164" s="433">
        <v>37725152</v>
      </c>
      <c r="G164" s="433">
        <v>37725152</v>
      </c>
      <c r="I164" s="426"/>
      <c r="J164" s="426"/>
    </row>
    <row r="165" spans="1:10" ht="25.5">
      <c r="A165" s="430" t="s">
        <v>482</v>
      </c>
      <c r="B165" s="431" t="s">
        <v>768</v>
      </c>
      <c r="C165" s="431" t="s">
        <v>548</v>
      </c>
      <c r="D165" s="436" t="s">
        <v>631</v>
      </c>
      <c r="E165" s="431" t="s">
        <v>600</v>
      </c>
      <c r="F165" s="433">
        <v>418635</v>
      </c>
      <c r="G165" s="433">
        <v>418635</v>
      </c>
      <c r="I165" s="426"/>
      <c r="J165" s="426"/>
    </row>
    <row r="166" spans="1:10" ht="25.5">
      <c r="A166" s="432" t="s">
        <v>126</v>
      </c>
      <c r="B166" s="431" t="s">
        <v>768</v>
      </c>
      <c r="C166" s="431" t="s">
        <v>548</v>
      </c>
      <c r="D166" s="436" t="s">
        <v>632</v>
      </c>
      <c r="E166" s="431"/>
      <c r="F166" s="429">
        <f>SUM(F167:F169)</f>
        <v>31576616</v>
      </c>
      <c r="G166" s="429">
        <f>SUM(G167:G169)</f>
        <v>31279414</v>
      </c>
      <c r="I166" s="426"/>
      <c r="J166" s="426"/>
    </row>
    <row r="167" spans="1:10" ht="63.75">
      <c r="A167" s="430" t="s">
        <v>104</v>
      </c>
      <c r="B167" s="431" t="s">
        <v>768</v>
      </c>
      <c r="C167" s="431" t="s">
        <v>548</v>
      </c>
      <c r="D167" s="436" t="s">
        <v>632</v>
      </c>
      <c r="E167" s="431">
        <v>100</v>
      </c>
      <c r="F167" s="433">
        <f>6979964+1802284+297202</f>
        <v>9079450</v>
      </c>
      <c r="G167" s="433">
        <f>6979964+1802284</f>
        <v>8782248</v>
      </c>
      <c r="I167" s="426"/>
      <c r="J167" s="426"/>
    </row>
    <row r="168" spans="1:10" ht="25.5">
      <c r="A168" s="430" t="s">
        <v>482</v>
      </c>
      <c r="B168" s="431" t="s">
        <v>768</v>
      </c>
      <c r="C168" s="431" t="s">
        <v>548</v>
      </c>
      <c r="D168" s="436" t="s">
        <v>632</v>
      </c>
      <c r="E168" s="431">
        <v>200</v>
      </c>
      <c r="F168" s="433">
        <f>19641534+423445+83197</f>
        <v>20148176</v>
      </c>
      <c r="G168" s="433">
        <f>19641534+423445+83197</f>
        <v>20148176</v>
      </c>
      <c r="I168" s="426"/>
      <c r="J168" s="426"/>
    </row>
    <row r="169" spans="1:10" ht="12.75">
      <c r="A169" s="430" t="s">
        <v>89</v>
      </c>
      <c r="B169" s="431" t="s">
        <v>768</v>
      </c>
      <c r="C169" s="431" t="s">
        <v>548</v>
      </c>
      <c r="D169" s="436" t="s">
        <v>632</v>
      </c>
      <c r="E169" s="431">
        <v>800</v>
      </c>
      <c r="F169" s="433">
        <v>2348990</v>
      </c>
      <c r="G169" s="433">
        <v>2348990</v>
      </c>
      <c r="I169" s="426"/>
      <c r="J169" s="426"/>
    </row>
    <row r="170" spans="1:10" ht="25.5">
      <c r="A170" s="31" t="s">
        <v>419</v>
      </c>
      <c r="B170" s="459" t="s">
        <v>768</v>
      </c>
      <c r="C170" s="459" t="s">
        <v>548</v>
      </c>
      <c r="D170" s="461" t="s">
        <v>141</v>
      </c>
      <c r="E170" s="431"/>
      <c r="F170" s="429">
        <f>F171</f>
        <v>200000</v>
      </c>
      <c r="G170" s="429">
        <f>G171</f>
        <v>200000</v>
      </c>
      <c r="I170" s="426"/>
      <c r="J170" s="426"/>
    </row>
    <row r="171" spans="1:10" ht="25.5">
      <c r="A171" s="30" t="s">
        <v>500</v>
      </c>
      <c r="B171" s="431" t="s">
        <v>768</v>
      </c>
      <c r="C171" s="431" t="s">
        <v>548</v>
      </c>
      <c r="D171" s="436" t="s">
        <v>662</v>
      </c>
      <c r="E171" s="431"/>
      <c r="F171" s="429">
        <f>F172</f>
        <v>200000</v>
      </c>
      <c r="G171" s="429">
        <f>G172</f>
        <v>200000</v>
      </c>
      <c r="I171" s="426"/>
      <c r="J171" s="426"/>
    </row>
    <row r="172" spans="1:10" ht="25.5">
      <c r="A172" s="430" t="s">
        <v>482</v>
      </c>
      <c r="B172" s="431" t="s">
        <v>768</v>
      </c>
      <c r="C172" s="431" t="s">
        <v>548</v>
      </c>
      <c r="D172" s="436" t="s">
        <v>662</v>
      </c>
      <c r="E172" s="431">
        <v>200</v>
      </c>
      <c r="F172" s="433">
        <v>200000</v>
      </c>
      <c r="G172" s="433">
        <v>200000</v>
      </c>
      <c r="I172" s="426"/>
      <c r="J172" s="426"/>
    </row>
    <row r="173" spans="1:10" ht="12.75">
      <c r="A173" s="427" t="s">
        <v>570</v>
      </c>
      <c r="B173" s="428" t="s">
        <v>768</v>
      </c>
      <c r="C173" s="428" t="s">
        <v>550</v>
      </c>
      <c r="D173" s="428" t="s">
        <v>99</v>
      </c>
      <c r="E173" s="428" t="s">
        <v>99</v>
      </c>
      <c r="F173" s="470">
        <f>F174</f>
        <v>78568664</v>
      </c>
      <c r="G173" s="470">
        <f>G174</f>
        <v>78568664</v>
      </c>
      <c r="I173" s="426"/>
      <c r="J173" s="426"/>
    </row>
    <row r="174" spans="1:10" ht="36" customHeight="1">
      <c r="A174" s="434" t="s">
        <v>58</v>
      </c>
      <c r="B174" s="431" t="s">
        <v>768</v>
      </c>
      <c r="C174" s="431" t="s">
        <v>550</v>
      </c>
      <c r="D174" s="436" t="s">
        <v>564</v>
      </c>
      <c r="E174" s="431" t="s">
        <v>99</v>
      </c>
      <c r="F174" s="429">
        <f>F175</f>
        <v>78568664</v>
      </c>
      <c r="G174" s="429">
        <f>G175</f>
        <v>78568664</v>
      </c>
      <c r="I174" s="426"/>
      <c r="J174" s="426"/>
    </row>
    <row r="175" spans="1:10" ht="51">
      <c r="A175" s="435" t="s">
        <v>59</v>
      </c>
      <c r="B175" s="431" t="s">
        <v>768</v>
      </c>
      <c r="C175" s="431" t="s">
        <v>550</v>
      </c>
      <c r="D175" s="436" t="s">
        <v>565</v>
      </c>
      <c r="E175" s="432" t="s">
        <v>99</v>
      </c>
      <c r="F175" s="429">
        <f>F176+F181</f>
        <v>78568664</v>
      </c>
      <c r="G175" s="429">
        <f>G176+G181</f>
        <v>78568664</v>
      </c>
      <c r="I175" s="426"/>
      <c r="J175" s="426"/>
    </row>
    <row r="176" spans="1:10" ht="25.5">
      <c r="A176" s="22" t="s">
        <v>908</v>
      </c>
      <c r="B176" s="431" t="s">
        <v>768</v>
      </c>
      <c r="C176" s="431" t="s">
        <v>550</v>
      </c>
      <c r="D176" s="436" t="s">
        <v>633</v>
      </c>
      <c r="E176" s="432"/>
      <c r="F176" s="429">
        <f>F177+F179</f>
        <v>76118414</v>
      </c>
      <c r="G176" s="429">
        <f>G177+G179</f>
        <v>76118414</v>
      </c>
      <c r="I176" s="426"/>
      <c r="J176" s="426"/>
    </row>
    <row r="177" spans="1:10" ht="114.75">
      <c r="A177" s="16" t="s">
        <v>430</v>
      </c>
      <c r="B177" s="431" t="s">
        <v>768</v>
      </c>
      <c r="C177" s="431" t="s">
        <v>550</v>
      </c>
      <c r="D177" s="436" t="s">
        <v>634</v>
      </c>
      <c r="E177" s="431" t="s">
        <v>99</v>
      </c>
      <c r="F177" s="429">
        <f>F178</f>
        <v>64095685</v>
      </c>
      <c r="G177" s="429">
        <f>G178</f>
        <v>64095685</v>
      </c>
      <c r="I177" s="426"/>
      <c r="J177" s="426"/>
    </row>
    <row r="178" spans="1:10" ht="38.25">
      <c r="A178" s="430" t="s">
        <v>102</v>
      </c>
      <c r="B178" s="431" t="s">
        <v>768</v>
      </c>
      <c r="C178" s="431" t="s">
        <v>550</v>
      </c>
      <c r="D178" s="436" t="s">
        <v>634</v>
      </c>
      <c r="E178" s="431">
        <v>600</v>
      </c>
      <c r="F178" s="433">
        <v>64095685</v>
      </c>
      <c r="G178" s="433">
        <v>64095685</v>
      </c>
      <c r="I178" s="426"/>
      <c r="J178" s="426"/>
    </row>
    <row r="179" spans="1:10" ht="25.5">
      <c r="A179" s="432" t="s">
        <v>126</v>
      </c>
      <c r="B179" s="431" t="s">
        <v>768</v>
      </c>
      <c r="C179" s="431" t="s">
        <v>550</v>
      </c>
      <c r="D179" s="436" t="s">
        <v>635</v>
      </c>
      <c r="E179" s="431"/>
      <c r="F179" s="429">
        <f>F180</f>
        <v>12022729</v>
      </c>
      <c r="G179" s="429">
        <f>G180</f>
        <v>12022729</v>
      </c>
      <c r="I179" s="426"/>
      <c r="J179" s="426"/>
    </row>
    <row r="180" spans="1:10" ht="38.25">
      <c r="A180" s="430" t="s">
        <v>102</v>
      </c>
      <c r="B180" s="431" t="s">
        <v>768</v>
      </c>
      <c r="C180" s="431" t="s">
        <v>550</v>
      </c>
      <c r="D180" s="436" t="s">
        <v>635</v>
      </c>
      <c r="E180" s="431">
        <v>600</v>
      </c>
      <c r="F180" s="433">
        <f>11060715+962014</f>
        <v>12022729</v>
      </c>
      <c r="G180" s="433">
        <f>11060715+962014</f>
        <v>12022729</v>
      </c>
      <c r="I180" s="426"/>
      <c r="J180" s="426"/>
    </row>
    <row r="181" spans="1:10" ht="25.5">
      <c r="A181" s="31" t="s">
        <v>909</v>
      </c>
      <c r="B181" s="459" t="s">
        <v>768</v>
      </c>
      <c r="C181" s="459" t="s">
        <v>550</v>
      </c>
      <c r="D181" s="461" t="s">
        <v>636</v>
      </c>
      <c r="E181" s="431"/>
      <c r="F181" s="433">
        <f>F182+F184</f>
        <v>2450250</v>
      </c>
      <c r="G181" s="433">
        <f>G182+G184</f>
        <v>2450250</v>
      </c>
      <c r="I181" s="426"/>
      <c r="J181" s="426"/>
    </row>
    <row r="182" spans="1:10" ht="76.5">
      <c r="A182" s="30" t="s">
        <v>930</v>
      </c>
      <c r="B182" s="459" t="s">
        <v>768</v>
      </c>
      <c r="C182" s="459" t="s">
        <v>550</v>
      </c>
      <c r="D182" s="461" t="s">
        <v>637</v>
      </c>
      <c r="E182" s="459"/>
      <c r="F182" s="470">
        <f>F183</f>
        <v>1650250</v>
      </c>
      <c r="G182" s="470">
        <f>G183</f>
        <v>1650250</v>
      </c>
      <c r="I182" s="426"/>
      <c r="J182" s="426"/>
    </row>
    <row r="183" spans="1:10" ht="38.25">
      <c r="A183" s="462" t="s">
        <v>102</v>
      </c>
      <c r="B183" s="459" t="s">
        <v>768</v>
      </c>
      <c r="C183" s="459" t="s">
        <v>550</v>
      </c>
      <c r="D183" s="461" t="s">
        <v>637</v>
      </c>
      <c r="E183" s="459">
        <v>600</v>
      </c>
      <c r="F183" s="471">
        <v>1650250</v>
      </c>
      <c r="G183" s="471">
        <v>1650250</v>
      </c>
      <c r="I183" s="426"/>
      <c r="J183" s="426"/>
    </row>
    <row r="184" spans="1:10" ht="26.25" customHeight="1">
      <c r="A184" s="30" t="s">
        <v>500</v>
      </c>
      <c r="B184" s="431" t="s">
        <v>768</v>
      </c>
      <c r="C184" s="431" t="s">
        <v>550</v>
      </c>
      <c r="D184" s="436" t="s">
        <v>501</v>
      </c>
      <c r="E184" s="431"/>
      <c r="F184" s="471">
        <v>800000</v>
      </c>
      <c r="G184" s="471">
        <v>800000</v>
      </c>
      <c r="I184" s="426"/>
      <c r="J184" s="426"/>
    </row>
    <row r="185" spans="1:10" ht="38.25">
      <c r="A185" s="430" t="s">
        <v>102</v>
      </c>
      <c r="B185" s="431" t="s">
        <v>768</v>
      </c>
      <c r="C185" s="431" t="s">
        <v>550</v>
      </c>
      <c r="D185" s="436" t="s">
        <v>501</v>
      </c>
      <c r="E185" s="431">
        <v>600</v>
      </c>
      <c r="F185" s="471">
        <v>800000</v>
      </c>
      <c r="G185" s="471">
        <v>800000</v>
      </c>
      <c r="I185" s="426"/>
      <c r="J185" s="426"/>
    </row>
    <row r="186" spans="1:10" ht="12.75">
      <c r="A186" s="466" t="s">
        <v>848</v>
      </c>
      <c r="B186" s="459" t="s">
        <v>768</v>
      </c>
      <c r="C186" s="472" t="s">
        <v>219</v>
      </c>
      <c r="D186" s="461"/>
      <c r="E186" s="459"/>
      <c r="F186" s="470">
        <f aca="true" t="shared" si="16" ref="F186:G189">F187</f>
        <v>15685970.5</v>
      </c>
      <c r="G186" s="470">
        <f t="shared" si="16"/>
        <v>15195402.5</v>
      </c>
      <c r="I186" s="426"/>
      <c r="J186" s="426"/>
    </row>
    <row r="187" spans="1:10" ht="38.25" customHeight="1">
      <c r="A187" s="434" t="s">
        <v>60</v>
      </c>
      <c r="B187" s="431" t="s">
        <v>768</v>
      </c>
      <c r="C187" s="465" t="s">
        <v>219</v>
      </c>
      <c r="D187" s="436" t="s">
        <v>564</v>
      </c>
      <c r="E187" s="431"/>
      <c r="F187" s="429">
        <f t="shared" si="16"/>
        <v>15685970.5</v>
      </c>
      <c r="G187" s="429">
        <f t="shared" si="16"/>
        <v>15195402.5</v>
      </c>
      <c r="I187" s="426"/>
      <c r="J187" s="426"/>
    </row>
    <row r="188" spans="1:10" ht="51">
      <c r="A188" s="435" t="s">
        <v>811</v>
      </c>
      <c r="B188" s="431" t="s">
        <v>768</v>
      </c>
      <c r="C188" s="465" t="s">
        <v>219</v>
      </c>
      <c r="D188" s="437" t="s">
        <v>638</v>
      </c>
      <c r="E188" s="432" t="s">
        <v>99</v>
      </c>
      <c r="F188" s="429">
        <f t="shared" si="16"/>
        <v>15685970.5</v>
      </c>
      <c r="G188" s="429">
        <f t="shared" si="16"/>
        <v>15195402.5</v>
      </c>
      <c r="I188" s="426"/>
      <c r="J188" s="426"/>
    </row>
    <row r="189" spans="1:10" ht="38.25">
      <c r="A189" s="22" t="s">
        <v>910</v>
      </c>
      <c r="B189" s="431" t="s">
        <v>768</v>
      </c>
      <c r="C189" s="465" t="s">
        <v>219</v>
      </c>
      <c r="D189" s="436" t="s">
        <v>639</v>
      </c>
      <c r="E189" s="432"/>
      <c r="F189" s="429">
        <f t="shared" si="16"/>
        <v>15685970.5</v>
      </c>
      <c r="G189" s="429">
        <f t="shared" si="16"/>
        <v>15195402.5</v>
      </c>
      <c r="I189" s="426"/>
      <c r="J189" s="426"/>
    </row>
    <row r="190" spans="1:10" ht="25.5">
      <c r="A190" s="432" t="s">
        <v>126</v>
      </c>
      <c r="B190" s="431" t="s">
        <v>768</v>
      </c>
      <c r="C190" s="465" t="s">
        <v>219</v>
      </c>
      <c r="D190" s="436" t="s">
        <v>640</v>
      </c>
      <c r="E190" s="431" t="s">
        <v>99</v>
      </c>
      <c r="F190" s="429">
        <f>SUM(F191:F193)</f>
        <v>15685970.5</v>
      </c>
      <c r="G190" s="429">
        <f>SUM(G191:G193)</f>
        <v>15195402.5</v>
      </c>
      <c r="I190" s="426"/>
      <c r="J190" s="426"/>
    </row>
    <row r="191" spans="1:10" ht="63.75">
      <c r="A191" s="430" t="s">
        <v>104</v>
      </c>
      <c r="B191" s="431" t="s">
        <v>768</v>
      </c>
      <c r="C191" s="465" t="s">
        <v>219</v>
      </c>
      <c r="D191" s="436" t="s">
        <v>640</v>
      </c>
      <c r="E191" s="431">
        <v>100</v>
      </c>
      <c r="F191" s="433">
        <f>11460677+3035477+490568</f>
        <v>14986722</v>
      </c>
      <c r="G191" s="433">
        <f>11460677+3035477</f>
        <v>14496154</v>
      </c>
      <c r="I191" s="426"/>
      <c r="J191" s="426"/>
    </row>
    <row r="192" spans="1:10" ht="25.5">
      <c r="A192" s="430" t="s">
        <v>482</v>
      </c>
      <c r="B192" s="431" t="s">
        <v>768</v>
      </c>
      <c r="C192" s="465" t="s">
        <v>219</v>
      </c>
      <c r="D192" s="436" t="s">
        <v>640</v>
      </c>
      <c r="E192" s="431">
        <v>200</v>
      </c>
      <c r="F192" s="433">
        <f>517940.5+47565</f>
        <v>565505.5</v>
      </c>
      <c r="G192" s="433">
        <f>517940.5+47565</f>
        <v>565505.5</v>
      </c>
      <c r="I192" s="426"/>
      <c r="J192" s="426"/>
    </row>
    <row r="193" spans="1:10" ht="12.75">
      <c r="A193" s="430" t="s">
        <v>89</v>
      </c>
      <c r="B193" s="431" t="s">
        <v>768</v>
      </c>
      <c r="C193" s="465" t="s">
        <v>219</v>
      </c>
      <c r="D193" s="436" t="s">
        <v>640</v>
      </c>
      <c r="E193" s="431">
        <v>800</v>
      </c>
      <c r="F193" s="433">
        <v>133743</v>
      </c>
      <c r="G193" s="433">
        <v>133743</v>
      </c>
      <c r="I193" s="426"/>
      <c r="J193" s="426"/>
    </row>
    <row r="194" spans="1:10" ht="12.75">
      <c r="A194" s="427" t="s">
        <v>849</v>
      </c>
      <c r="B194" s="428" t="s">
        <v>768</v>
      </c>
      <c r="C194" s="428" t="s">
        <v>768</v>
      </c>
      <c r="D194" s="428" t="s">
        <v>99</v>
      </c>
      <c r="E194" s="428" t="s">
        <v>99</v>
      </c>
      <c r="F194" s="470">
        <f>F195</f>
        <v>866600</v>
      </c>
      <c r="G194" s="470">
        <f>G195</f>
        <v>866600</v>
      </c>
      <c r="I194" s="426"/>
      <c r="J194" s="426"/>
    </row>
    <row r="195" spans="1:10" ht="63.75">
      <c r="A195" s="434" t="s">
        <v>313</v>
      </c>
      <c r="B195" s="431" t="s">
        <v>768</v>
      </c>
      <c r="C195" s="431" t="s">
        <v>768</v>
      </c>
      <c r="D195" s="436" t="s">
        <v>312</v>
      </c>
      <c r="E195" s="431" t="s">
        <v>99</v>
      </c>
      <c r="F195" s="429">
        <f>F196</f>
        <v>866600</v>
      </c>
      <c r="G195" s="429">
        <f>G196</f>
        <v>866600</v>
      </c>
      <c r="I195" s="426"/>
      <c r="J195" s="426"/>
    </row>
    <row r="196" spans="1:10" ht="89.25">
      <c r="A196" s="15" t="s">
        <v>526</v>
      </c>
      <c r="B196" s="431" t="s">
        <v>768</v>
      </c>
      <c r="C196" s="431" t="s">
        <v>768</v>
      </c>
      <c r="D196" s="437" t="s">
        <v>629</v>
      </c>
      <c r="E196" s="432" t="s">
        <v>99</v>
      </c>
      <c r="F196" s="429">
        <f>F197+F203</f>
        <v>866600</v>
      </c>
      <c r="G196" s="429">
        <f>G197+G203</f>
        <v>866600</v>
      </c>
      <c r="I196" s="426"/>
      <c r="J196" s="426"/>
    </row>
    <row r="197" spans="1:10" ht="28.5" customHeight="1">
      <c r="A197" s="25" t="s">
        <v>628</v>
      </c>
      <c r="B197" s="431" t="s">
        <v>768</v>
      </c>
      <c r="C197" s="431" t="s">
        <v>768</v>
      </c>
      <c r="D197" s="436" t="s">
        <v>627</v>
      </c>
      <c r="E197" s="432"/>
      <c r="F197" s="429">
        <f>F198+F200</f>
        <v>856600</v>
      </c>
      <c r="G197" s="429">
        <f>G198+G200</f>
        <v>856600</v>
      </c>
      <c r="I197" s="426"/>
      <c r="J197" s="426"/>
    </row>
    <row r="198" spans="1:10" ht="12.75">
      <c r="A198" s="25" t="s">
        <v>626</v>
      </c>
      <c r="B198" s="431" t="s">
        <v>768</v>
      </c>
      <c r="C198" s="431" t="s">
        <v>768</v>
      </c>
      <c r="D198" s="436" t="s">
        <v>625</v>
      </c>
      <c r="E198" s="432"/>
      <c r="F198" s="429">
        <f>F199</f>
        <v>12000</v>
      </c>
      <c r="G198" s="429">
        <f>G199</f>
        <v>12000</v>
      </c>
      <c r="I198" s="426"/>
      <c r="J198" s="426"/>
    </row>
    <row r="199" spans="1:10" ht="38.25">
      <c r="A199" s="430" t="s">
        <v>102</v>
      </c>
      <c r="B199" s="431" t="s">
        <v>768</v>
      </c>
      <c r="C199" s="431" t="s">
        <v>768</v>
      </c>
      <c r="D199" s="436" t="s">
        <v>625</v>
      </c>
      <c r="E199" s="432">
        <v>600</v>
      </c>
      <c r="F199" s="433">
        <v>12000</v>
      </c>
      <c r="G199" s="433">
        <v>12000</v>
      </c>
      <c r="I199" s="426"/>
      <c r="J199" s="426"/>
    </row>
    <row r="200" spans="1:10" ht="25.5">
      <c r="A200" s="30" t="s">
        <v>131</v>
      </c>
      <c r="B200" s="431" t="s">
        <v>768</v>
      </c>
      <c r="C200" s="431" t="s">
        <v>768</v>
      </c>
      <c r="D200" s="436" t="s">
        <v>132</v>
      </c>
      <c r="E200" s="432"/>
      <c r="F200" s="429">
        <f>F201+F202</f>
        <v>844600</v>
      </c>
      <c r="G200" s="429">
        <f>G201+G202</f>
        <v>844600</v>
      </c>
      <c r="I200" s="426"/>
      <c r="J200" s="426"/>
    </row>
    <row r="201" spans="1:10" ht="25.5">
      <c r="A201" s="430" t="s">
        <v>93</v>
      </c>
      <c r="B201" s="431" t="s">
        <v>768</v>
      </c>
      <c r="C201" s="431" t="s">
        <v>768</v>
      </c>
      <c r="D201" s="436" t="s">
        <v>132</v>
      </c>
      <c r="E201" s="432">
        <v>300</v>
      </c>
      <c r="F201" s="429">
        <v>460355</v>
      </c>
      <c r="G201" s="429">
        <v>460355</v>
      </c>
      <c r="I201" s="426"/>
      <c r="J201" s="426"/>
    </row>
    <row r="202" spans="1:10" ht="38.25">
      <c r="A202" s="430" t="s">
        <v>102</v>
      </c>
      <c r="B202" s="431" t="s">
        <v>768</v>
      </c>
      <c r="C202" s="431" t="s">
        <v>768</v>
      </c>
      <c r="D202" s="436" t="s">
        <v>132</v>
      </c>
      <c r="E202" s="432">
        <v>600</v>
      </c>
      <c r="F202" s="433">
        <v>384245</v>
      </c>
      <c r="G202" s="433">
        <v>384245</v>
      </c>
      <c r="I202" s="426"/>
      <c r="J202" s="426"/>
    </row>
    <row r="203" spans="1:10" ht="51">
      <c r="A203" s="26" t="s">
        <v>72</v>
      </c>
      <c r="B203" s="459" t="s">
        <v>768</v>
      </c>
      <c r="C203" s="459" t="s">
        <v>768</v>
      </c>
      <c r="D203" s="461" t="s">
        <v>73</v>
      </c>
      <c r="E203" s="473"/>
      <c r="F203" s="470">
        <f>F204</f>
        <v>10000</v>
      </c>
      <c r="G203" s="470">
        <f>G204</f>
        <v>10000</v>
      </c>
      <c r="I203" s="426"/>
      <c r="J203" s="426"/>
    </row>
    <row r="204" spans="1:10" ht="25.5">
      <c r="A204" s="26" t="s">
        <v>75</v>
      </c>
      <c r="B204" s="459" t="s">
        <v>768</v>
      </c>
      <c r="C204" s="459" t="s">
        <v>768</v>
      </c>
      <c r="D204" s="461" t="s">
        <v>74</v>
      </c>
      <c r="E204" s="473"/>
      <c r="F204" s="470">
        <f>F205</f>
        <v>10000</v>
      </c>
      <c r="G204" s="470">
        <f>G205</f>
        <v>10000</v>
      </c>
      <c r="I204" s="426"/>
      <c r="J204" s="426"/>
    </row>
    <row r="205" spans="1:10" ht="25.5">
      <c r="A205" s="462" t="s">
        <v>482</v>
      </c>
      <c r="B205" s="459" t="s">
        <v>768</v>
      </c>
      <c r="C205" s="459" t="s">
        <v>768</v>
      </c>
      <c r="D205" s="461" t="s">
        <v>74</v>
      </c>
      <c r="E205" s="473">
        <v>200</v>
      </c>
      <c r="F205" s="471">
        <v>10000</v>
      </c>
      <c r="G205" s="471">
        <v>10000</v>
      </c>
      <c r="I205" s="426"/>
      <c r="J205" s="426"/>
    </row>
    <row r="206" spans="1:10" ht="12.75">
      <c r="A206" s="440" t="s">
        <v>571</v>
      </c>
      <c r="B206" s="474" t="s">
        <v>768</v>
      </c>
      <c r="C206" s="474" t="s">
        <v>220</v>
      </c>
      <c r="D206" s="474" t="s">
        <v>99</v>
      </c>
      <c r="E206" s="474" t="s">
        <v>99</v>
      </c>
      <c r="F206" s="470">
        <f>F207</f>
        <v>4059551</v>
      </c>
      <c r="G206" s="470">
        <f>G207</f>
        <v>3941412</v>
      </c>
      <c r="I206" s="426"/>
      <c r="J206" s="426"/>
    </row>
    <row r="207" spans="1:10" ht="38.25">
      <c r="A207" s="434" t="s">
        <v>58</v>
      </c>
      <c r="B207" s="431" t="s">
        <v>768</v>
      </c>
      <c r="C207" s="431" t="s">
        <v>220</v>
      </c>
      <c r="D207" s="436" t="s">
        <v>564</v>
      </c>
      <c r="E207" s="431" t="s">
        <v>99</v>
      </c>
      <c r="F207" s="429">
        <f>F208</f>
        <v>4059551</v>
      </c>
      <c r="G207" s="429">
        <f>G208</f>
        <v>3941412</v>
      </c>
      <c r="I207" s="426"/>
      <c r="J207" s="426"/>
    </row>
    <row r="208" spans="1:10" ht="51">
      <c r="A208" s="435" t="s">
        <v>810</v>
      </c>
      <c r="B208" s="431" t="s">
        <v>768</v>
      </c>
      <c r="C208" s="431" t="s">
        <v>220</v>
      </c>
      <c r="D208" s="436" t="s">
        <v>641</v>
      </c>
      <c r="E208" s="432" t="s">
        <v>99</v>
      </c>
      <c r="F208" s="429">
        <f>F209+F212+F217</f>
        <v>4059551</v>
      </c>
      <c r="G208" s="429">
        <f>G209+G212+G217</f>
        <v>3941412</v>
      </c>
      <c r="I208" s="426"/>
      <c r="J208" s="426"/>
    </row>
    <row r="209" spans="1:10" ht="63.75">
      <c r="A209" s="22" t="s">
        <v>911</v>
      </c>
      <c r="B209" s="431" t="s">
        <v>768</v>
      </c>
      <c r="C209" s="431" t="s">
        <v>220</v>
      </c>
      <c r="D209" s="436" t="s">
        <v>642</v>
      </c>
      <c r="E209" s="432"/>
      <c r="F209" s="429">
        <f>F210</f>
        <v>221676</v>
      </c>
      <c r="G209" s="429">
        <f>G210</f>
        <v>221676</v>
      </c>
      <c r="I209" s="426"/>
      <c r="J209" s="426"/>
    </row>
    <row r="210" spans="1:10" ht="39.75" customHeight="1">
      <c r="A210" s="430" t="s">
        <v>260</v>
      </c>
      <c r="B210" s="431" t="s">
        <v>768</v>
      </c>
      <c r="C210" s="431" t="s">
        <v>220</v>
      </c>
      <c r="D210" s="436" t="s">
        <v>643</v>
      </c>
      <c r="E210" s="431"/>
      <c r="F210" s="429">
        <f>F211</f>
        <v>221676</v>
      </c>
      <c r="G210" s="429">
        <f>G211</f>
        <v>221676</v>
      </c>
      <c r="I210" s="426"/>
      <c r="J210" s="426"/>
    </row>
    <row r="211" spans="1:10" ht="63.75">
      <c r="A211" s="430" t="s">
        <v>104</v>
      </c>
      <c r="B211" s="431" t="s">
        <v>768</v>
      </c>
      <c r="C211" s="431" t="s">
        <v>220</v>
      </c>
      <c r="D211" s="436" t="s">
        <v>643</v>
      </c>
      <c r="E211" s="431">
        <v>100</v>
      </c>
      <c r="F211" s="433">
        <v>221676</v>
      </c>
      <c r="G211" s="433">
        <v>221676</v>
      </c>
      <c r="I211" s="426"/>
      <c r="J211" s="426"/>
    </row>
    <row r="212" spans="1:10" ht="38.25">
      <c r="A212" s="25" t="s">
        <v>661</v>
      </c>
      <c r="B212" s="431" t="s">
        <v>768</v>
      </c>
      <c r="C212" s="431" t="s">
        <v>220</v>
      </c>
      <c r="D212" s="436" t="s">
        <v>645</v>
      </c>
      <c r="E212" s="431"/>
      <c r="F212" s="429">
        <f>F213</f>
        <v>2946344</v>
      </c>
      <c r="G212" s="429">
        <f>G213</f>
        <v>2855959</v>
      </c>
      <c r="I212" s="426"/>
      <c r="J212" s="426"/>
    </row>
    <row r="213" spans="1:10" ht="25.5">
      <c r="A213" s="432" t="s">
        <v>126</v>
      </c>
      <c r="B213" s="431" t="s">
        <v>768</v>
      </c>
      <c r="C213" s="431" t="s">
        <v>220</v>
      </c>
      <c r="D213" s="436" t="s">
        <v>646</v>
      </c>
      <c r="E213" s="431" t="s">
        <v>99</v>
      </c>
      <c r="F213" s="429">
        <f>SUM(F214:F216)</f>
        <v>2946344</v>
      </c>
      <c r="G213" s="429">
        <f>SUM(G214:G216)</f>
        <v>2855959</v>
      </c>
      <c r="I213" s="426"/>
      <c r="J213" s="426"/>
    </row>
    <row r="214" spans="1:10" ht="63.75">
      <c r="A214" s="430" t="s">
        <v>104</v>
      </c>
      <c r="B214" s="431" t="s">
        <v>768</v>
      </c>
      <c r="C214" s="431" t="s">
        <v>220</v>
      </c>
      <c r="D214" s="436" t="s">
        <v>646</v>
      </c>
      <c r="E214" s="431" t="s">
        <v>27</v>
      </c>
      <c r="F214" s="433">
        <f>2109828+561025+90385</f>
        <v>2761238</v>
      </c>
      <c r="G214" s="433">
        <f>2109828+561025</f>
        <v>2670853</v>
      </c>
      <c r="I214" s="426"/>
      <c r="J214" s="426"/>
    </row>
    <row r="215" spans="1:10" ht="25.5">
      <c r="A215" s="430" t="s">
        <v>482</v>
      </c>
      <c r="B215" s="431" t="s">
        <v>768</v>
      </c>
      <c r="C215" s="431" t="s">
        <v>220</v>
      </c>
      <c r="D215" s="436" t="s">
        <v>646</v>
      </c>
      <c r="E215" s="431" t="s">
        <v>600</v>
      </c>
      <c r="F215" s="433">
        <f>176751+6855</f>
        <v>183606</v>
      </c>
      <c r="G215" s="433">
        <f>176751+6855</f>
        <v>183606</v>
      </c>
      <c r="I215" s="426"/>
      <c r="J215" s="426"/>
    </row>
    <row r="216" spans="1:10" ht="12.75">
      <c r="A216" s="430" t="s">
        <v>89</v>
      </c>
      <c r="B216" s="431" t="s">
        <v>768</v>
      </c>
      <c r="C216" s="431" t="s">
        <v>220</v>
      </c>
      <c r="D216" s="436" t="s">
        <v>646</v>
      </c>
      <c r="E216" s="431">
        <v>800</v>
      </c>
      <c r="F216" s="433">
        <v>1500</v>
      </c>
      <c r="G216" s="433">
        <v>1500</v>
      </c>
      <c r="I216" s="426"/>
      <c r="J216" s="426"/>
    </row>
    <row r="217" spans="1:10" ht="38.25">
      <c r="A217" s="432" t="s">
        <v>394</v>
      </c>
      <c r="B217" s="431" t="s">
        <v>768</v>
      </c>
      <c r="C217" s="431" t="s">
        <v>220</v>
      </c>
      <c r="D217" s="436" t="s">
        <v>398</v>
      </c>
      <c r="E217" s="431"/>
      <c r="F217" s="429">
        <f>F218</f>
        <v>891531</v>
      </c>
      <c r="G217" s="429">
        <f>G218</f>
        <v>863777</v>
      </c>
      <c r="I217" s="426"/>
      <c r="J217" s="426"/>
    </row>
    <row r="218" spans="1:10" ht="25.5">
      <c r="A218" s="432" t="s">
        <v>514</v>
      </c>
      <c r="B218" s="431" t="s">
        <v>768</v>
      </c>
      <c r="C218" s="431" t="s">
        <v>220</v>
      </c>
      <c r="D218" s="436" t="s">
        <v>399</v>
      </c>
      <c r="E218" s="431"/>
      <c r="F218" s="429">
        <f>SUM(F219:F221)</f>
        <v>891531</v>
      </c>
      <c r="G218" s="429">
        <f>SUM(G219:G221)</f>
        <v>863777</v>
      </c>
      <c r="I218" s="426"/>
      <c r="J218" s="426"/>
    </row>
    <row r="219" spans="1:10" ht="63.75">
      <c r="A219" s="430" t="s">
        <v>104</v>
      </c>
      <c r="B219" s="431" t="s">
        <v>768</v>
      </c>
      <c r="C219" s="431" t="s">
        <v>220</v>
      </c>
      <c r="D219" s="436" t="s">
        <v>399</v>
      </c>
      <c r="E219" s="431" t="s">
        <v>27</v>
      </c>
      <c r="F219" s="433">
        <f>650508+169625+27754</f>
        <v>847887</v>
      </c>
      <c r="G219" s="433">
        <f>650508+169625</f>
        <v>820133</v>
      </c>
      <c r="I219" s="426"/>
      <c r="J219" s="426"/>
    </row>
    <row r="220" spans="1:10" ht="25.5">
      <c r="A220" s="430" t="s">
        <v>482</v>
      </c>
      <c r="B220" s="431" t="s">
        <v>768</v>
      </c>
      <c r="C220" s="431" t="s">
        <v>220</v>
      </c>
      <c r="D220" s="436" t="s">
        <v>399</v>
      </c>
      <c r="E220" s="431" t="s">
        <v>600</v>
      </c>
      <c r="F220" s="433">
        <v>42144</v>
      </c>
      <c r="G220" s="433">
        <v>42144</v>
      </c>
      <c r="I220" s="426"/>
      <c r="J220" s="426"/>
    </row>
    <row r="221" spans="1:10" ht="12.75">
      <c r="A221" s="455" t="s">
        <v>89</v>
      </c>
      <c r="B221" s="456" t="s">
        <v>768</v>
      </c>
      <c r="C221" s="456" t="s">
        <v>220</v>
      </c>
      <c r="D221" s="457" t="s">
        <v>399</v>
      </c>
      <c r="E221" s="456">
        <v>800</v>
      </c>
      <c r="F221" s="458">
        <v>1500</v>
      </c>
      <c r="G221" s="458">
        <v>1500</v>
      </c>
      <c r="I221" s="426"/>
      <c r="J221" s="426"/>
    </row>
    <row r="222" spans="1:10" ht="12.75">
      <c r="A222" s="422" t="s">
        <v>503</v>
      </c>
      <c r="B222" s="423" t="s">
        <v>560</v>
      </c>
      <c r="C222" s="453" t="s">
        <v>912</v>
      </c>
      <c r="D222" s="423" t="s">
        <v>99</v>
      </c>
      <c r="E222" s="423" t="s">
        <v>99</v>
      </c>
      <c r="F222" s="425">
        <f>F223+F235</f>
        <v>14943370.5</v>
      </c>
      <c r="G222" s="425">
        <f>G223+G235</f>
        <v>14575580.5</v>
      </c>
      <c r="I222" s="426"/>
      <c r="J222" s="426"/>
    </row>
    <row r="223" spans="1:10" ht="12.75">
      <c r="A223" s="427" t="s">
        <v>572</v>
      </c>
      <c r="B223" s="428" t="s">
        <v>560</v>
      </c>
      <c r="C223" s="428" t="s">
        <v>548</v>
      </c>
      <c r="D223" s="428" t="s">
        <v>99</v>
      </c>
      <c r="E223" s="428" t="s">
        <v>99</v>
      </c>
      <c r="F223" s="429">
        <f>F224</f>
        <v>14923370.5</v>
      </c>
      <c r="G223" s="429">
        <f>G224</f>
        <v>14555580.5</v>
      </c>
      <c r="I223" s="426"/>
      <c r="J223" s="426"/>
    </row>
    <row r="224" spans="1:10" ht="25.5">
      <c r="A224" s="434" t="s">
        <v>821</v>
      </c>
      <c r="B224" s="431" t="s">
        <v>560</v>
      </c>
      <c r="C224" s="431" t="s">
        <v>548</v>
      </c>
      <c r="D224" s="436" t="s">
        <v>647</v>
      </c>
      <c r="E224" s="431" t="s">
        <v>99</v>
      </c>
      <c r="F224" s="429">
        <f>F225+F231</f>
        <v>14923370.5</v>
      </c>
      <c r="G224" s="429">
        <f>G225+G231</f>
        <v>14555580.5</v>
      </c>
      <c r="I224" s="426"/>
      <c r="J224" s="426"/>
    </row>
    <row r="225" spans="1:10" ht="38.25">
      <c r="A225" s="466" t="s">
        <v>21</v>
      </c>
      <c r="B225" s="431" t="s">
        <v>560</v>
      </c>
      <c r="C225" s="431" t="s">
        <v>548</v>
      </c>
      <c r="D225" s="436" t="s">
        <v>648</v>
      </c>
      <c r="E225" s="432" t="s">
        <v>99</v>
      </c>
      <c r="F225" s="429">
        <f>F226</f>
        <v>2897465.5</v>
      </c>
      <c r="G225" s="429">
        <f>G226</f>
        <v>2808625.5</v>
      </c>
      <c r="I225" s="426"/>
      <c r="J225" s="426"/>
    </row>
    <row r="226" spans="1:10" ht="25.5">
      <c r="A226" s="23" t="s">
        <v>624</v>
      </c>
      <c r="B226" s="431" t="s">
        <v>560</v>
      </c>
      <c r="C226" s="431" t="s">
        <v>548</v>
      </c>
      <c r="D226" s="436" t="s">
        <v>649</v>
      </c>
      <c r="E226" s="432"/>
      <c r="F226" s="429">
        <f>F227</f>
        <v>2897465.5</v>
      </c>
      <c r="G226" s="429">
        <f>G227</f>
        <v>2808625.5</v>
      </c>
      <c r="I226" s="426"/>
      <c r="J226" s="426"/>
    </row>
    <row r="227" spans="1:10" ht="25.5">
      <c r="A227" s="432" t="s">
        <v>516</v>
      </c>
      <c r="B227" s="431" t="s">
        <v>560</v>
      </c>
      <c r="C227" s="431" t="s">
        <v>548</v>
      </c>
      <c r="D227" s="436" t="s">
        <v>650</v>
      </c>
      <c r="E227" s="431" t="s">
        <v>99</v>
      </c>
      <c r="F227" s="429">
        <f>SUM(F228:F230)</f>
        <v>2897465.5</v>
      </c>
      <c r="G227" s="429">
        <f>SUM(G228:G230)</f>
        <v>2808625.5</v>
      </c>
      <c r="I227" s="426"/>
      <c r="J227" s="426"/>
    </row>
    <row r="228" spans="1:10" ht="63.75">
      <c r="A228" s="430" t="s">
        <v>104</v>
      </c>
      <c r="B228" s="431" t="s">
        <v>560</v>
      </c>
      <c r="C228" s="431" t="s">
        <v>548</v>
      </c>
      <c r="D228" s="436" t="s">
        <v>650</v>
      </c>
      <c r="E228" s="431">
        <v>100</v>
      </c>
      <c r="F228" s="433">
        <f>2073630+551557+88840</f>
        <v>2714027</v>
      </c>
      <c r="G228" s="433">
        <f>2073630+551557</f>
        <v>2625187</v>
      </c>
      <c r="I228" s="426"/>
      <c r="J228" s="426"/>
    </row>
    <row r="229" spans="1:10" ht="25.5">
      <c r="A229" s="430" t="s">
        <v>482</v>
      </c>
      <c r="B229" s="431" t="s">
        <v>560</v>
      </c>
      <c r="C229" s="431" t="s">
        <v>548</v>
      </c>
      <c r="D229" s="436" t="s">
        <v>650</v>
      </c>
      <c r="E229" s="431">
        <v>200</v>
      </c>
      <c r="F229" s="433">
        <f>135272+12872</f>
        <v>148144</v>
      </c>
      <c r="G229" s="433">
        <f>135272+12872</f>
        <v>148144</v>
      </c>
      <c r="I229" s="426"/>
      <c r="J229" s="426"/>
    </row>
    <row r="230" spans="1:10" ht="12.75">
      <c r="A230" s="430" t="s">
        <v>89</v>
      </c>
      <c r="B230" s="431" t="s">
        <v>560</v>
      </c>
      <c r="C230" s="431" t="s">
        <v>548</v>
      </c>
      <c r="D230" s="436" t="s">
        <v>650</v>
      </c>
      <c r="E230" s="431">
        <v>800</v>
      </c>
      <c r="F230" s="433">
        <v>35294.5</v>
      </c>
      <c r="G230" s="433">
        <v>35294.5</v>
      </c>
      <c r="I230" s="426"/>
      <c r="J230" s="426"/>
    </row>
    <row r="231" spans="1:10" ht="38.25">
      <c r="A231" s="435" t="s">
        <v>22</v>
      </c>
      <c r="B231" s="431" t="s">
        <v>560</v>
      </c>
      <c r="C231" s="431" t="s">
        <v>548</v>
      </c>
      <c r="D231" s="436" t="s">
        <v>651</v>
      </c>
      <c r="E231" s="432"/>
      <c r="F231" s="429">
        <f aca="true" t="shared" si="17" ref="F231:G233">F232</f>
        <v>12025905</v>
      </c>
      <c r="G231" s="429">
        <f t="shared" si="17"/>
        <v>11746955</v>
      </c>
      <c r="I231" s="426"/>
      <c r="J231" s="426"/>
    </row>
    <row r="232" spans="1:10" ht="51">
      <c r="A232" s="23" t="s">
        <v>400</v>
      </c>
      <c r="B232" s="431" t="s">
        <v>560</v>
      </c>
      <c r="C232" s="431" t="s">
        <v>548</v>
      </c>
      <c r="D232" s="436" t="s">
        <v>652</v>
      </c>
      <c r="E232" s="432"/>
      <c r="F232" s="429">
        <f t="shared" si="17"/>
        <v>12025905</v>
      </c>
      <c r="G232" s="429">
        <f t="shared" si="17"/>
        <v>11746955</v>
      </c>
      <c r="I232" s="426"/>
      <c r="J232" s="426"/>
    </row>
    <row r="233" spans="1:10" ht="25.5">
      <c r="A233" s="432" t="s">
        <v>516</v>
      </c>
      <c r="B233" s="431" t="s">
        <v>560</v>
      </c>
      <c r="C233" s="431" t="s">
        <v>548</v>
      </c>
      <c r="D233" s="436" t="s">
        <v>653</v>
      </c>
      <c r="E233" s="432"/>
      <c r="F233" s="429">
        <f t="shared" si="17"/>
        <v>12025905</v>
      </c>
      <c r="G233" s="429">
        <f t="shared" si="17"/>
        <v>11746955</v>
      </c>
      <c r="I233" s="426"/>
      <c r="J233" s="426"/>
    </row>
    <row r="234" spans="1:10" ht="38.25">
      <c r="A234" s="430" t="s">
        <v>102</v>
      </c>
      <c r="B234" s="431" t="s">
        <v>560</v>
      </c>
      <c r="C234" s="431" t="s">
        <v>548</v>
      </c>
      <c r="D234" s="436" t="s">
        <v>653</v>
      </c>
      <c r="E234" s="432">
        <v>600</v>
      </c>
      <c r="F234" s="433">
        <f>9674864+1904443+167648+278950</f>
        <v>12025905</v>
      </c>
      <c r="G234" s="433">
        <f>9674864+1904443+167648</f>
        <v>11746955</v>
      </c>
      <c r="I234" s="426"/>
      <c r="J234" s="426"/>
    </row>
    <row r="235" spans="1:10" ht="25.5">
      <c r="A235" s="435" t="s">
        <v>623</v>
      </c>
      <c r="B235" s="465" t="s">
        <v>560</v>
      </c>
      <c r="C235" s="465" t="s">
        <v>551</v>
      </c>
      <c r="D235" s="436"/>
      <c r="E235" s="432"/>
      <c r="F235" s="429">
        <f aca="true" t="shared" si="18" ref="F235:G239">F236</f>
        <v>20000</v>
      </c>
      <c r="G235" s="429">
        <f t="shared" si="18"/>
        <v>20000</v>
      </c>
      <c r="I235" s="426"/>
      <c r="J235" s="426"/>
    </row>
    <row r="236" spans="1:10" ht="28.5" customHeight="1">
      <c r="A236" s="434" t="s">
        <v>663</v>
      </c>
      <c r="B236" s="465" t="s">
        <v>560</v>
      </c>
      <c r="C236" s="465" t="s">
        <v>551</v>
      </c>
      <c r="D236" s="436" t="s">
        <v>647</v>
      </c>
      <c r="E236" s="432"/>
      <c r="F236" s="429">
        <f t="shared" si="18"/>
        <v>20000</v>
      </c>
      <c r="G236" s="429">
        <f t="shared" si="18"/>
        <v>20000</v>
      </c>
      <c r="I236" s="426"/>
      <c r="J236" s="426"/>
    </row>
    <row r="237" spans="1:10" ht="25.5">
      <c r="A237" s="430" t="s">
        <v>22</v>
      </c>
      <c r="B237" s="465" t="s">
        <v>560</v>
      </c>
      <c r="C237" s="465" t="s">
        <v>551</v>
      </c>
      <c r="D237" s="436" t="s">
        <v>651</v>
      </c>
      <c r="E237" s="432"/>
      <c r="F237" s="429">
        <f t="shared" si="18"/>
        <v>20000</v>
      </c>
      <c r="G237" s="429">
        <f t="shared" si="18"/>
        <v>20000</v>
      </c>
      <c r="I237" s="426"/>
      <c r="J237" s="426"/>
    </row>
    <row r="238" spans="1:10" ht="51">
      <c r="A238" s="23" t="s">
        <v>400</v>
      </c>
      <c r="B238" s="465" t="s">
        <v>560</v>
      </c>
      <c r="C238" s="465" t="s">
        <v>551</v>
      </c>
      <c r="D238" s="436" t="s">
        <v>652</v>
      </c>
      <c r="E238" s="432"/>
      <c r="F238" s="429">
        <f t="shared" si="18"/>
        <v>20000</v>
      </c>
      <c r="G238" s="429">
        <f t="shared" si="18"/>
        <v>20000</v>
      </c>
      <c r="I238" s="426"/>
      <c r="J238" s="426"/>
    </row>
    <row r="239" spans="1:10" ht="36">
      <c r="A239" s="28" t="s">
        <v>622</v>
      </c>
      <c r="B239" s="465" t="s">
        <v>560</v>
      </c>
      <c r="C239" s="465" t="s">
        <v>551</v>
      </c>
      <c r="D239" s="436" t="s">
        <v>585</v>
      </c>
      <c r="E239" s="432"/>
      <c r="F239" s="429">
        <f t="shared" si="18"/>
        <v>20000</v>
      </c>
      <c r="G239" s="429">
        <f t="shared" si="18"/>
        <v>20000</v>
      </c>
      <c r="I239" s="426"/>
      <c r="J239" s="426"/>
    </row>
    <row r="240" spans="1:10" ht="25.5">
      <c r="A240" s="455" t="s">
        <v>103</v>
      </c>
      <c r="B240" s="475" t="s">
        <v>560</v>
      </c>
      <c r="C240" s="475" t="s">
        <v>551</v>
      </c>
      <c r="D240" s="457" t="s">
        <v>585</v>
      </c>
      <c r="E240" s="476">
        <v>200</v>
      </c>
      <c r="F240" s="458">
        <v>20000</v>
      </c>
      <c r="G240" s="458">
        <v>20000</v>
      </c>
      <c r="I240" s="426"/>
      <c r="J240" s="426"/>
    </row>
    <row r="241" spans="1:10" ht="12.75">
      <c r="A241" s="477" t="s">
        <v>850</v>
      </c>
      <c r="B241" s="478" t="s">
        <v>220</v>
      </c>
      <c r="C241" s="479" t="s">
        <v>912</v>
      </c>
      <c r="D241" s="480"/>
      <c r="E241" s="481"/>
      <c r="F241" s="425">
        <f aca="true" t="shared" si="19" ref="F241:G245">F242</f>
        <v>657941</v>
      </c>
      <c r="G241" s="425">
        <f t="shared" si="19"/>
        <v>657941</v>
      </c>
      <c r="I241" s="426"/>
      <c r="J241" s="426"/>
    </row>
    <row r="242" spans="1:10" ht="12.75">
      <c r="A242" s="462" t="s">
        <v>851</v>
      </c>
      <c r="B242" s="472" t="s">
        <v>220</v>
      </c>
      <c r="C242" s="472" t="s">
        <v>768</v>
      </c>
      <c r="D242" s="461"/>
      <c r="E242" s="473"/>
      <c r="F242" s="470">
        <f t="shared" si="19"/>
        <v>657941</v>
      </c>
      <c r="G242" s="470">
        <f t="shared" si="19"/>
        <v>657941</v>
      </c>
      <c r="I242" s="426"/>
      <c r="J242" s="426"/>
    </row>
    <row r="243" spans="1:10" ht="25.5">
      <c r="A243" s="434" t="s">
        <v>391</v>
      </c>
      <c r="B243" s="465" t="s">
        <v>220</v>
      </c>
      <c r="C243" s="465" t="s">
        <v>768</v>
      </c>
      <c r="D243" s="436" t="s">
        <v>820</v>
      </c>
      <c r="E243" s="432"/>
      <c r="F243" s="429">
        <f t="shared" si="19"/>
        <v>657941</v>
      </c>
      <c r="G243" s="429">
        <f t="shared" si="19"/>
        <v>657941</v>
      </c>
      <c r="I243" s="426"/>
      <c r="J243" s="426"/>
    </row>
    <row r="244" spans="1:10" ht="25.5">
      <c r="A244" s="435" t="s">
        <v>392</v>
      </c>
      <c r="B244" s="465" t="s">
        <v>220</v>
      </c>
      <c r="C244" s="465" t="s">
        <v>768</v>
      </c>
      <c r="D244" s="437" t="s">
        <v>822</v>
      </c>
      <c r="E244" s="432"/>
      <c r="F244" s="429">
        <f t="shared" si="19"/>
        <v>657941</v>
      </c>
      <c r="G244" s="429">
        <f t="shared" si="19"/>
        <v>657941</v>
      </c>
      <c r="I244" s="426"/>
      <c r="J244" s="426"/>
    </row>
    <row r="245" spans="1:10" ht="25.5">
      <c r="A245" s="32" t="s">
        <v>852</v>
      </c>
      <c r="B245" s="465" t="s">
        <v>220</v>
      </c>
      <c r="C245" s="465" t="s">
        <v>768</v>
      </c>
      <c r="D245" s="436" t="s">
        <v>853</v>
      </c>
      <c r="E245" s="432"/>
      <c r="F245" s="429">
        <f t="shared" si="19"/>
        <v>657941</v>
      </c>
      <c r="G245" s="429">
        <f t="shared" si="19"/>
        <v>657941</v>
      </c>
      <c r="I245" s="426"/>
      <c r="J245" s="426"/>
    </row>
    <row r="246" spans="1:10" ht="25.5">
      <c r="A246" s="455" t="s">
        <v>103</v>
      </c>
      <c r="B246" s="475" t="s">
        <v>220</v>
      </c>
      <c r="C246" s="475" t="s">
        <v>768</v>
      </c>
      <c r="D246" s="457" t="s">
        <v>853</v>
      </c>
      <c r="E246" s="476">
        <v>200</v>
      </c>
      <c r="F246" s="458">
        <v>657941</v>
      </c>
      <c r="G246" s="458">
        <v>657941</v>
      </c>
      <c r="I246" s="426"/>
      <c r="J246" s="426"/>
    </row>
    <row r="247" spans="1:10" ht="12.75">
      <c r="A247" s="422" t="s">
        <v>573</v>
      </c>
      <c r="B247" s="423" t="s">
        <v>561</v>
      </c>
      <c r="C247" s="453" t="s">
        <v>912</v>
      </c>
      <c r="D247" s="423" t="s">
        <v>99</v>
      </c>
      <c r="E247" s="423" t="s">
        <v>99</v>
      </c>
      <c r="F247" s="469">
        <f>F249+F254+F272+F287</f>
        <v>20009780</v>
      </c>
      <c r="G247" s="469">
        <f>G249+G254+G272+G287</f>
        <v>20009780</v>
      </c>
      <c r="I247" s="426"/>
      <c r="J247" s="426"/>
    </row>
    <row r="248" spans="1:10" ht="12.75">
      <c r="A248" s="427" t="s">
        <v>181</v>
      </c>
      <c r="B248" s="464">
        <v>10</v>
      </c>
      <c r="C248" s="482" t="s">
        <v>548</v>
      </c>
      <c r="D248" s="464"/>
      <c r="E248" s="464"/>
      <c r="F248" s="483">
        <v>30000</v>
      </c>
      <c r="G248" s="483">
        <v>30000</v>
      </c>
      <c r="I248" s="426"/>
      <c r="J248" s="426"/>
    </row>
    <row r="249" spans="1:10" ht="25.5">
      <c r="A249" s="434" t="s">
        <v>185</v>
      </c>
      <c r="B249" s="431">
        <v>10</v>
      </c>
      <c r="C249" s="465" t="s">
        <v>548</v>
      </c>
      <c r="D249" s="436" t="s">
        <v>808</v>
      </c>
      <c r="E249" s="464"/>
      <c r="F249" s="433">
        <v>30000</v>
      </c>
      <c r="G249" s="433">
        <v>30000</v>
      </c>
      <c r="I249" s="426"/>
      <c r="J249" s="426"/>
    </row>
    <row r="250" spans="1:10" ht="51">
      <c r="A250" s="435" t="s">
        <v>186</v>
      </c>
      <c r="B250" s="431">
        <v>10</v>
      </c>
      <c r="C250" s="465" t="s">
        <v>548</v>
      </c>
      <c r="D250" s="436" t="s">
        <v>668</v>
      </c>
      <c r="E250" s="464"/>
      <c r="F250" s="433">
        <v>30000</v>
      </c>
      <c r="G250" s="433">
        <v>30000</v>
      </c>
      <c r="I250" s="426"/>
      <c r="J250" s="426"/>
    </row>
    <row r="251" spans="1:10" ht="38.25">
      <c r="A251" s="23" t="s">
        <v>320</v>
      </c>
      <c r="B251" s="431">
        <v>10</v>
      </c>
      <c r="C251" s="465" t="s">
        <v>548</v>
      </c>
      <c r="D251" s="436" t="s">
        <v>182</v>
      </c>
      <c r="E251" s="464"/>
      <c r="F251" s="433">
        <v>30000</v>
      </c>
      <c r="G251" s="433">
        <v>30000</v>
      </c>
      <c r="I251" s="426"/>
      <c r="J251" s="426"/>
    </row>
    <row r="252" spans="1:10" ht="25.5">
      <c r="A252" s="23" t="s">
        <v>184</v>
      </c>
      <c r="B252" s="431">
        <v>10</v>
      </c>
      <c r="C252" s="465" t="s">
        <v>548</v>
      </c>
      <c r="D252" s="436" t="s">
        <v>183</v>
      </c>
      <c r="E252" s="464"/>
      <c r="F252" s="433">
        <v>30000</v>
      </c>
      <c r="G252" s="433">
        <v>30000</v>
      </c>
      <c r="I252" s="426"/>
      <c r="J252" s="426"/>
    </row>
    <row r="253" spans="1:10" ht="25.5">
      <c r="A253" s="430" t="s">
        <v>93</v>
      </c>
      <c r="B253" s="431">
        <v>10</v>
      </c>
      <c r="C253" s="465" t="s">
        <v>548</v>
      </c>
      <c r="D253" s="436" t="s">
        <v>183</v>
      </c>
      <c r="E253" s="431">
        <v>300</v>
      </c>
      <c r="F253" s="433">
        <v>30000</v>
      </c>
      <c r="G253" s="433">
        <v>30000</v>
      </c>
      <c r="I253" s="426"/>
      <c r="J253" s="426"/>
    </row>
    <row r="254" spans="1:10" ht="12.75">
      <c r="A254" s="427" t="s">
        <v>574</v>
      </c>
      <c r="B254" s="428" t="s">
        <v>561</v>
      </c>
      <c r="C254" s="428" t="s">
        <v>219</v>
      </c>
      <c r="D254" s="428" t="s">
        <v>99</v>
      </c>
      <c r="E254" s="428" t="s">
        <v>99</v>
      </c>
      <c r="F254" s="470">
        <f>F255</f>
        <v>8528104</v>
      </c>
      <c r="G254" s="470">
        <f>G255</f>
        <v>8528104</v>
      </c>
      <c r="I254" s="426"/>
      <c r="J254" s="426"/>
    </row>
    <row r="255" spans="1:10" ht="25.5">
      <c r="A255" s="434" t="s">
        <v>185</v>
      </c>
      <c r="B255" s="431" t="s">
        <v>561</v>
      </c>
      <c r="C255" s="431" t="s">
        <v>219</v>
      </c>
      <c r="D255" s="436" t="s">
        <v>808</v>
      </c>
      <c r="E255" s="431" t="s">
        <v>99</v>
      </c>
      <c r="F255" s="429">
        <f>F256</f>
        <v>8528104</v>
      </c>
      <c r="G255" s="429">
        <f>G256</f>
        <v>8528104</v>
      </c>
      <c r="I255" s="426"/>
      <c r="J255" s="426"/>
    </row>
    <row r="256" spans="1:10" ht="51">
      <c r="A256" s="435" t="s">
        <v>186</v>
      </c>
      <c r="B256" s="431" t="s">
        <v>561</v>
      </c>
      <c r="C256" s="431" t="s">
        <v>219</v>
      </c>
      <c r="D256" s="437" t="s">
        <v>668</v>
      </c>
      <c r="E256" s="432" t="s">
        <v>99</v>
      </c>
      <c r="F256" s="429">
        <f>F257+F264+F268</f>
        <v>8528104</v>
      </c>
      <c r="G256" s="429">
        <f>G257+G264+G268</f>
        <v>8528104</v>
      </c>
      <c r="I256" s="426"/>
      <c r="J256" s="426"/>
    </row>
    <row r="257" spans="1:10" ht="38.25">
      <c r="A257" s="23" t="s">
        <v>401</v>
      </c>
      <c r="B257" s="431" t="s">
        <v>561</v>
      </c>
      <c r="C257" s="431" t="s">
        <v>219</v>
      </c>
      <c r="D257" s="460" t="s">
        <v>136</v>
      </c>
      <c r="E257" s="431"/>
      <c r="F257" s="429">
        <f>F258+F261</f>
        <v>7938092</v>
      </c>
      <c r="G257" s="429">
        <f>G258+G261</f>
        <v>7938092</v>
      </c>
      <c r="I257" s="426"/>
      <c r="J257" s="426"/>
    </row>
    <row r="258" spans="1:10" ht="25.5">
      <c r="A258" s="432" t="s">
        <v>24</v>
      </c>
      <c r="B258" s="431" t="s">
        <v>561</v>
      </c>
      <c r="C258" s="431" t="s">
        <v>219</v>
      </c>
      <c r="D258" s="436" t="s">
        <v>402</v>
      </c>
      <c r="E258" s="431" t="s">
        <v>99</v>
      </c>
      <c r="F258" s="429">
        <f>SUM(F259:F260)</f>
        <v>6840092</v>
      </c>
      <c r="G258" s="429">
        <f>SUM(G259:G260)</f>
        <v>6840092</v>
      </c>
      <c r="I258" s="426"/>
      <c r="J258" s="426"/>
    </row>
    <row r="259" spans="1:10" ht="25.5">
      <c r="A259" s="430" t="s">
        <v>482</v>
      </c>
      <c r="B259" s="431" t="s">
        <v>561</v>
      </c>
      <c r="C259" s="431" t="s">
        <v>219</v>
      </c>
      <c r="D259" s="436" t="s">
        <v>402</v>
      </c>
      <c r="E259" s="431">
        <v>200</v>
      </c>
      <c r="F259" s="433">
        <v>110000</v>
      </c>
      <c r="G259" s="433">
        <v>110000</v>
      </c>
      <c r="I259" s="426"/>
      <c r="J259" s="426"/>
    </row>
    <row r="260" spans="1:10" ht="25.5">
      <c r="A260" s="430" t="s">
        <v>93</v>
      </c>
      <c r="B260" s="431" t="s">
        <v>561</v>
      </c>
      <c r="C260" s="431" t="s">
        <v>219</v>
      </c>
      <c r="D260" s="436" t="s">
        <v>402</v>
      </c>
      <c r="E260" s="431">
        <v>300</v>
      </c>
      <c r="F260" s="433">
        <v>6730092</v>
      </c>
      <c r="G260" s="433">
        <v>6730092</v>
      </c>
      <c r="I260" s="426"/>
      <c r="J260" s="426"/>
    </row>
    <row r="261" spans="1:10" ht="25.5">
      <c r="A261" s="432" t="s">
        <v>25</v>
      </c>
      <c r="B261" s="431" t="s">
        <v>561</v>
      </c>
      <c r="C261" s="431" t="s">
        <v>219</v>
      </c>
      <c r="D261" s="436" t="s">
        <v>403</v>
      </c>
      <c r="E261" s="431" t="s">
        <v>99</v>
      </c>
      <c r="F261" s="429">
        <f>SUM(F262:F263)</f>
        <v>1098000</v>
      </c>
      <c r="G261" s="429">
        <f>SUM(G262:G263)</f>
        <v>1098000</v>
      </c>
      <c r="I261" s="426"/>
      <c r="J261" s="426"/>
    </row>
    <row r="262" spans="1:10" ht="25.5">
      <c r="A262" s="430" t="s">
        <v>482</v>
      </c>
      <c r="B262" s="431" t="s">
        <v>561</v>
      </c>
      <c r="C262" s="431" t="s">
        <v>219</v>
      </c>
      <c r="D262" s="436" t="s">
        <v>403</v>
      </c>
      <c r="E262" s="431">
        <v>200</v>
      </c>
      <c r="F262" s="433">
        <v>25000</v>
      </c>
      <c r="G262" s="433">
        <v>25000</v>
      </c>
      <c r="I262" s="426"/>
      <c r="J262" s="426"/>
    </row>
    <row r="263" spans="1:10" ht="25.5">
      <c r="A263" s="430" t="s">
        <v>93</v>
      </c>
      <c r="B263" s="431" t="s">
        <v>561</v>
      </c>
      <c r="C263" s="431" t="s">
        <v>219</v>
      </c>
      <c r="D263" s="436" t="s">
        <v>403</v>
      </c>
      <c r="E263" s="431" t="s">
        <v>92</v>
      </c>
      <c r="F263" s="433">
        <v>1073000</v>
      </c>
      <c r="G263" s="433">
        <v>1073000</v>
      </c>
      <c r="I263" s="426"/>
      <c r="J263" s="426"/>
    </row>
    <row r="264" spans="1:10" ht="38.25">
      <c r="A264" s="22" t="s">
        <v>133</v>
      </c>
      <c r="B264" s="428" t="s">
        <v>561</v>
      </c>
      <c r="C264" s="428" t="s">
        <v>219</v>
      </c>
      <c r="D264" s="460" t="s">
        <v>137</v>
      </c>
      <c r="E264" s="428"/>
      <c r="F264" s="429">
        <f>F265</f>
        <v>136797</v>
      </c>
      <c r="G264" s="429">
        <f>G265</f>
        <v>136797</v>
      </c>
      <c r="I264" s="426"/>
      <c r="J264" s="426"/>
    </row>
    <row r="265" spans="1:10" ht="38.25">
      <c r="A265" s="432" t="s">
        <v>518</v>
      </c>
      <c r="B265" s="431" t="s">
        <v>561</v>
      </c>
      <c r="C265" s="431" t="s">
        <v>219</v>
      </c>
      <c r="D265" s="436" t="s">
        <v>138</v>
      </c>
      <c r="E265" s="431" t="s">
        <v>99</v>
      </c>
      <c r="F265" s="429">
        <f>SUM(F266:F267)</f>
        <v>136797</v>
      </c>
      <c r="G265" s="429">
        <f>SUM(G266:G267)</f>
        <v>136797</v>
      </c>
      <c r="I265" s="426"/>
      <c r="J265" s="426"/>
    </row>
    <row r="266" spans="1:10" ht="25.5">
      <c r="A266" s="430" t="s">
        <v>482</v>
      </c>
      <c r="B266" s="431" t="s">
        <v>561</v>
      </c>
      <c r="C266" s="431" t="s">
        <v>219</v>
      </c>
      <c r="D266" s="436" t="s">
        <v>138</v>
      </c>
      <c r="E266" s="431">
        <v>200</v>
      </c>
      <c r="F266" s="429">
        <v>2797</v>
      </c>
      <c r="G266" s="429">
        <v>2797</v>
      </c>
      <c r="I266" s="426"/>
      <c r="J266" s="426"/>
    </row>
    <row r="267" spans="1:10" ht="25.5">
      <c r="A267" s="430" t="s">
        <v>93</v>
      </c>
      <c r="B267" s="431" t="s">
        <v>561</v>
      </c>
      <c r="C267" s="431" t="s">
        <v>219</v>
      </c>
      <c r="D267" s="436" t="s">
        <v>138</v>
      </c>
      <c r="E267" s="431" t="s">
        <v>92</v>
      </c>
      <c r="F267" s="433">
        <v>134000</v>
      </c>
      <c r="G267" s="433">
        <v>134000</v>
      </c>
      <c r="I267" s="426"/>
      <c r="J267" s="426"/>
    </row>
    <row r="268" spans="1:10" ht="38.25">
      <c r="A268" s="27" t="s">
        <v>404</v>
      </c>
      <c r="B268" s="428" t="s">
        <v>561</v>
      </c>
      <c r="C268" s="428" t="s">
        <v>219</v>
      </c>
      <c r="D268" s="437" t="s">
        <v>139</v>
      </c>
      <c r="E268" s="428"/>
      <c r="F268" s="429">
        <f>F269</f>
        <v>453215</v>
      </c>
      <c r="G268" s="429">
        <f>G269</f>
        <v>453215</v>
      </c>
      <c r="I268" s="426"/>
      <c r="J268" s="426"/>
    </row>
    <row r="269" spans="1:10" ht="38.25">
      <c r="A269" s="432" t="s">
        <v>124</v>
      </c>
      <c r="B269" s="431" t="s">
        <v>561</v>
      </c>
      <c r="C269" s="431" t="s">
        <v>219</v>
      </c>
      <c r="D269" s="436" t="s">
        <v>140</v>
      </c>
      <c r="E269" s="431" t="s">
        <v>99</v>
      </c>
      <c r="F269" s="429">
        <f>SUM(F270:F271)</f>
        <v>453215</v>
      </c>
      <c r="G269" s="429">
        <f>SUM(G270:G271)</f>
        <v>453215</v>
      </c>
      <c r="I269" s="426"/>
      <c r="J269" s="426"/>
    </row>
    <row r="270" spans="1:10" ht="25.5">
      <c r="A270" s="430" t="s">
        <v>482</v>
      </c>
      <c r="B270" s="431" t="s">
        <v>561</v>
      </c>
      <c r="C270" s="431" t="s">
        <v>219</v>
      </c>
      <c r="D270" s="436" t="s">
        <v>140</v>
      </c>
      <c r="E270" s="431">
        <v>200</v>
      </c>
      <c r="F270" s="433">
        <v>2500</v>
      </c>
      <c r="G270" s="433">
        <v>2500</v>
      </c>
      <c r="I270" s="426"/>
      <c r="J270" s="426"/>
    </row>
    <row r="271" spans="1:10" ht="25.5">
      <c r="A271" s="430" t="s">
        <v>93</v>
      </c>
      <c r="B271" s="431" t="s">
        <v>561</v>
      </c>
      <c r="C271" s="431" t="s">
        <v>219</v>
      </c>
      <c r="D271" s="436" t="s">
        <v>140</v>
      </c>
      <c r="E271" s="431">
        <v>300</v>
      </c>
      <c r="F271" s="433">
        <v>450715</v>
      </c>
      <c r="G271" s="433">
        <v>450715</v>
      </c>
      <c r="I271" s="426"/>
      <c r="J271" s="426"/>
    </row>
    <row r="272" spans="1:10" ht="12.75">
      <c r="A272" s="427" t="s">
        <v>575</v>
      </c>
      <c r="B272" s="428" t="s">
        <v>561</v>
      </c>
      <c r="C272" s="428" t="s">
        <v>551</v>
      </c>
      <c r="D272" s="428" t="s">
        <v>99</v>
      </c>
      <c r="E272" s="428" t="s">
        <v>99</v>
      </c>
      <c r="F272" s="429">
        <f>F273+F281</f>
        <v>9379676</v>
      </c>
      <c r="G272" s="429">
        <f>G273+G281</f>
        <v>9379676</v>
      </c>
      <c r="I272" s="426"/>
      <c r="J272" s="426"/>
    </row>
    <row r="273" spans="1:10" ht="25.5">
      <c r="A273" s="434" t="s">
        <v>185</v>
      </c>
      <c r="B273" s="431" t="s">
        <v>561</v>
      </c>
      <c r="C273" s="431" t="s">
        <v>551</v>
      </c>
      <c r="D273" s="436" t="s">
        <v>808</v>
      </c>
      <c r="E273" s="431"/>
      <c r="F273" s="429">
        <f>F274</f>
        <v>5471804</v>
      </c>
      <c r="G273" s="429">
        <f>G274</f>
        <v>5471804</v>
      </c>
      <c r="I273" s="426"/>
      <c r="J273" s="426"/>
    </row>
    <row r="274" spans="1:10" ht="63.75">
      <c r="A274" s="435" t="s">
        <v>871</v>
      </c>
      <c r="B274" s="431" t="s">
        <v>561</v>
      </c>
      <c r="C274" s="431" t="s">
        <v>551</v>
      </c>
      <c r="D274" s="437" t="s">
        <v>813</v>
      </c>
      <c r="E274" s="432" t="s">
        <v>99</v>
      </c>
      <c r="F274" s="429">
        <f>F275+F278</f>
        <v>5471804</v>
      </c>
      <c r="G274" s="429">
        <f>G275+G278</f>
        <v>5471804</v>
      </c>
      <c r="I274" s="426"/>
      <c r="J274" s="426"/>
    </row>
    <row r="275" spans="1:10" ht="51">
      <c r="A275" s="23" t="s">
        <v>77</v>
      </c>
      <c r="B275" s="431" t="s">
        <v>561</v>
      </c>
      <c r="C275" s="431" t="s">
        <v>551</v>
      </c>
      <c r="D275" s="431" t="s">
        <v>134</v>
      </c>
      <c r="E275" s="431"/>
      <c r="F275" s="429">
        <f>F276</f>
        <v>1432488</v>
      </c>
      <c r="G275" s="429">
        <f>G276</f>
        <v>1432488</v>
      </c>
      <c r="I275" s="426"/>
      <c r="J275" s="426"/>
    </row>
    <row r="276" spans="1:10" ht="12.75">
      <c r="A276" s="22" t="s">
        <v>562</v>
      </c>
      <c r="B276" s="431" t="s">
        <v>561</v>
      </c>
      <c r="C276" s="431" t="s">
        <v>551</v>
      </c>
      <c r="D276" s="436" t="s">
        <v>78</v>
      </c>
      <c r="E276" s="431"/>
      <c r="F276" s="429">
        <f>F277</f>
        <v>1432488</v>
      </c>
      <c r="G276" s="429">
        <f>G277</f>
        <v>1432488</v>
      </c>
      <c r="I276" s="426"/>
      <c r="J276" s="426"/>
    </row>
    <row r="277" spans="1:10" ht="25.5">
      <c r="A277" s="430" t="s">
        <v>93</v>
      </c>
      <c r="B277" s="431" t="s">
        <v>561</v>
      </c>
      <c r="C277" s="431" t="s">
        <v>551</v>
      </c>
      <c r="D277" s="436" t="s">
        <v>78</v>
      </c>
      <c r="E277" s="431">
        <v>300</v>
      </c>
      <c r="F277" s="433">
        <v>1432488</v>
      </c>
      <c r="G277" s="433">
        <v>1432488</v>
      </c>
      <c r="I277" s="426"/>
      <c r="J277" s="426"/>
    </row>
    <row r="278" spans="1:10" ht="63.75">
      <c r="A278" s="23" t="s">
        <v>135</v>
      </c>
      <c r="B278" s="431" t="s">
        <v>561</v>
      </c>
      <c r="C278" s="431" t="s">
        <v>551</v>
      </c>
      <c r="D278" s="437" t="s">
        <v>79</v>
      </c>
      <c r="E278" s="432"/>
      <c r="F278" s="429">
        <f>F279</f>
        <v>4039316</v>
      </c>
      <c r="G278" s="429">
        <f>G279</f>
        <v>4039316</v>
      </c>
      <c r="I278" s="426"/>
      <c r="J278" s="426"/>
    </row>
    <row r="279" spans="1:10" ht="38.25">
      <c r="A279" s="432" t="s">
        <v>26</v>
      </c>
      <c r="B279" s="431" t="s">
        <v>561</v>
      </c>
      <c r="C279" s="431" t="s">
        <v>551</v>
      </c>
      <c r="D279" s="436" t="s">
        <v>80</v>
      </c>
      <c r="E279" s="431" t="s">
        <v>99</v>
      </c>
      <c r="F279" s="429">
        <f>SUM(F280:F280)</f>
        <v>4039316</v>
      </c>
      <c r="G279" s="429">
        <f>SUM(G280:G280)</f>
        <v>4039316</v>
      </c>
      <c r="I279" s="426"/>
      <c r="J279" s="426"/>
    </row>
    <row r="280" spans="1:10" ht="25.5">
      <c r="A280" s="430" t="s">
        <v>93</v>
      </c>
      <c r="B280" s="431" t="s">
        <v>561</v>
      </c>
      <c r="C280" s="431" t="s">
        <v>551</v>
      </c>
      <c r="D280" s="436" t="s">
        <v>80</v>
      </c>
      <c r="E280" s="431">
        <v>300</v>
      </c>
      <c r="F280" s="433">
        <v>4039316</v>
      </c>
      <c r="G280" s="433">
        <v>4039316</v>
      </c>
      <c r="I280" s="426"/>
      <c r="J280" s="426"/>
    </row>
    <row r="281" spans="1:10" ht="38.25">
      <c r="A281" s="434" t="s">
        <v>60</v>
      </c>
      <c r="B281" s="431">
        <v>10</v>
      </c>
      <c r="C281" s="431" t="s">
        <v>551</v>
      </c>
      <c r="D281" s="436" t="s">
        <v>564</v>
      </c>
      <c r="E281" s="431"/>
      <c r="F281" s="429">
        <f aca="true" t="shared" si="20" ref="F281:G283">F282</f>
        <v>3907872</v>
      </c>
      <c r="G281" s="429">
        <f t="shared" si="20"/>
        <v>3907872</v>
      </c>
      <c r="I281" s="426"/>
      <c r="J281" s="426"/>
    </row>
    <row r="282" spans="1:10" ht="51">
      <c r="A282" s="435" t="s">
        <v>59</v>
      </c>
      <c r="B282" s="431">
        <v>10</v>
      </c>
      <c r="C282" s="431" t="s">
        <v>551</v>
      </c>
      <c r="D282" s="437" t="s">
        <v>565</v>
      </c>
      <c r="E282" s="431"/>
      <c r="F282" s="429">
        <f t="shared" si="20"/>
        <v>3907872</v>
      </c>
      <c r="G282" s="429">
        <f t="shared" si="20"/>
        <v>3907872</v>
      </c>
      <c r="I282" s="426"/>
      <c r="J282" s="426"/>
    </row>
    <row r="283" spans="1:10" ht="25.5">
      <c r="A283" s="24" t="s">
        <v>907</v>
      </c>
      <c r="B283" s="431">
        <v>10</v>
      </c>
      <c r="C283" s="431" t="s">
        <v>551</v>
      </c>
      <c r="D283" s="437" t="s">
        <v>141</v>
      </c>
      <c r="E283" s="431"/>
      <c r="F283" s="429">
        <f t="shared" si="20"/>
        <v>3907872</v>
      </c>
      <c r="G283" s="429">
        <f t="shared" si="20"/>
        <v>3907872</v>
      </c>
      <c r="I283" s="426"/>
      <c r="J283" s="426"/>
    </row>
    <row r="284" spans="1:10" ht="12.75">
      <c r="A284" s="430" t="s">
        <v>658</v>
      </c>
      <c r="B284" s="431">
        <v>10</v>
      </c>
      <c r="C284" s="431" t="s">
        <v>551</v>
      </c>
      <c r="D284" s="436" t="s">
        <v>413</v>
      </c>
      <c r="E284" s="431"/>
      <c r="F284" s="429">
        <f>SUM(F285:F286)</f>
        <v>3907872</v>
      </c>
      <c r="G284" s="429">
        <f>SUM(G285:G286)</f>
        <v>3907872</v>
      </c>
      <c r="I284" s="426"/>
      <c r="J284" s="426"/>
    </row>
    <row r="285" spans="1:10" ht="25.5">
      <c r="A285" s="430" t="s">
        <v>482</v>
      </c>
      <c r="B285" s="431">
        <v>10</v>
      </c>
      <c r="C285" s="431" t="s">
        <v>551</v>
      </c>
      <c r="D285" s="436" t="s">
        <v>413</v>
      </c>
      <c r="E285" s="431">
        <v>200</v>
      </c>
      <c r="F285" s="433">
        <v>15570</v>
      </c>
      <c r="G285" s="433">
        <v>15570</v>
      </c>
      <c r="I285" s="426"/>
      <c r="J285" s="426"/>
    </row>
    <row r="286" spans="1:10" ht="25.5">
      <c r="A286" s="430" t="s">
        <v>93</v>
      </c>
      <c r="B286" s="431">
        <v>10</v>
      </c>
      <c r="C286" s="431" t="s">
        <v>551</v>
      </c>
      <c r="D286" s="436" t="s">
        <v>413</v>
      </c>
      <c r="E286" s="431">
        <v>300</v>
      </c>
      <c r="F286" s="433">
        <v>3892302</v>
      </c>
      <c r="G286" s="433">
        <v>3892302</v>
      </c>
      <c r="I286" s="426"/>
      <c r="J286" s="426"/>
    </row>
    <row r="287" spans="1:10" ht="25.5">
      <c r="A287" s="427" t="s">
        <v>741</v>
      </c>
      <c r="B287" s="428" t="s">
        <v>561</v>
      </c>
      <c r="C287" s="428" t="s">
        <v>552</v>
      </c>
      <c r="D287" s="428" t="s">
        <v>99</v>
      </c>
      <c r="E287" s="428" t="s">
        <v>99</v>
      </c>
      <c r="F287" s="429">
        <f aca="true" t="shared" si="21" ref="F287:G290">F288</f>
        <v>2072000</v>
      </c>
      <c r="G287" s="429">
        <f t="shared" si="21"/>
        <v>2072000</v>
      </c>
      <c r="I287" s="426"/>
      <c r="J287" s="426"/>
    </row>
    <row r="288" spans="1:10" ht="25.5">
      <c r="A288" s="434" t="s">
        <v>185</v>
      </c>
      <c r="B288" s="431" t="s">
        <v>561</v>
      </c>
      <c r="C288" s="431" t="s">
        <v>552</v>
      </c>
      <c r="D288" s="436" t="s">
        <v>808</v>
      </c>
      <c r="E288" s="431" t="s">
        <v>99</v>
      </c>
      <c r="F288" s="429">
        <f t="shared" si="21"/>
        <v>2072000</v>
      </c>
      <c r="G288" s="429">
        <f t="shared" si="21"/>
        <v>2072000</v>
      </c>
      <c r="I288" s="426"/>
      <c r="J288" s="426"/>
    </row>
    <row r="289" spans="1:10" ht="51">
      <c r="A289" s="435" t="s">
        <v>261</v>
      </c>
      <c r="B289" s="431" t="s">
        <v>561</v>
      </c>
      <c r="C289" s="431" t="s">
        <v>552</v>
      </c>
      <c r="D289" s="437" t="s">
        <v>812</v>
      </c>
      <c r="E289" s="432" t="s">
        <v>99</v>
      </c>
      <c r="F289" s="429">
        <f t="shared" si="21"/>
        <v>2072000</v>
      </c>
      <c r="G289" s="429">
        <f t="shared" si="21"/>
        <v>2072000</v>
      </c>
      <c r="I289" s="426"/>
      <c r="J289" s="426"/>
    </row>
    <row r="290" spans="1:10" ht="54.75" customHeight="1">
      <c r="A290" s="24" t="s">
        <v>81</v>
      </c>
      <c r="B290" s="431" t="s">
        <v>561</v>
      </c>
      <c r="C290" s="431" t="s">
        <v>552</v>
      </c>
      <c r="D290" s="437" t="s">
        <v>82</v>
      </c>
      <c r="E290" s="432"/>
      <c r="F290" s="429">
        <f t="shared" si="21"/>
        <v>2072000</v>
      </c>
      <c r="G290" s="429">
        <f t="shared" si="21"/>
        <v>2072000</v>
      </c>
      <c r="I290" s="426"/>
      <c r="J290" s="426"/>
    </row>
    <row r="291" spans="1:10" ht="38.25">
      <c r="A291" s="432" t="s">
        <v>271</v>
      </c>
      <c r="B291" s="431" t="s">
        <v>561</v>
      </c>
      <c r="C291" s="431" t="s">
        <v>552</v>
      </c>
      <c r="D291" s="437" t="s">
        <v>83</v>
      </c>
      <c r="E291" s="431" t="s">
        <v>99</v>
      </c>
      <c r="F291" s="429">
        <f>SUM(F292:F294)</f>
        <v>2072000</v>
      </c>
      <c r="G291" s="429">
        <f>SUM(G292:G294)</f>
        <v>2072000</v>
      </c>
      <c r="I291" s="426"/>
      <c r="J291" s="426"/>
    </row>
    <row r="292" spans="1:10" ht="63.75">
      <c r="A292" s="430" t="s">
        <v>104</v>
      </c>
      <c r="B292" s="431" t="s">
        <v>561</v>
      </c>
      <c r="C292" s="431" t="s">
        <v>552</v>
      </c>
      <c r="D292" s="437" t="s">
        <v>83</v>
      </c>
      <c r="E292" s="431">
        <v>100</v>
      </c>
      <c r="F292" s="433">
        <f>1905000+21000</f>
        <v>1926000</v>
      </c>
      <c r="G292" s="433">
        <f>1905000+21000</f>
        <v>1926000</v>
      </c>
      <c r="I292" s="426"/>
      <c r="J292" s="426"/>
    </row>
    <row r="293" spans="1:10" ht="25.5">
      <c r="A293" s="430" t="s">
        <v>482</v>
      </c>
      <c r="B293" s="431" t="s">
        <v>561</v>
      </c>
      <c r="C293" s="431" t="s">
        <v>552</v>
      </c>
      <c r="D293" s="437" t="s">
        <v>83</v>
      </c>
      <c r="E293" s="432">
        <v>200</v>
      </c>
      <c r="F293" s="433">
        <f>139900+5600</f>
        <v>145500</v>
      </c>
      <c r="G293" s="433">
        <f>139900+5600</f>
        <v>145500</v>
      </c>
      <c r="I293" s="426"/>
      <c r="J293" s="426"/>
    </row>
    <row r="294" spans="1:10" ht="12.75">
      <c r="A294" s="455" t="s">
        <v>89</v>
      </c>
      <c r="B294" s="456" t="s">
        <v>561</v>
      </c>
      <c r="C294" s="456" t="s">
        <v>552</v>
      </c>
      <c r="D294" s="484" t="s">
        <v>83</v>
      </c>
      <c r="E294" s="476">
        <v>800</v>
      </c>
      <c r="F294" s="458">
        <v>500</v>
      </c>
      <c r="G294" s="458">
        <v>500</v>
      </c>
      <c r="I294" s="426"/>
      <c r="J294" s="426"/>
    </row>
    <row r="295" spans="1:10" ht="12.75">
      <c r="A295" s="422" t="s">
        <v>412</v>
      </c>
      <c r="B295" s="423" t="s">
        <v>554</v>
      </c>
      <c r="C295" s="453" t="s">
        <v>912</v>
      </c>
      <c r="D295" s="423" t="s">
        <v>99</v>
      </c>
      <c r="E295" s="423" t="s">
        <v>99</v>
      </c>
      <c r="F295" s="485">
        <f aca="true" t="shared" si="22" ref="F295:G300">F296</f>
        <v>10352</v>
      </c>
      <c r="G295" s="485">
        <f t="shared" si="22"/>
        <v>10352</v>
      </c>
      <c r="I295" s="426"/>
      <c r="J295" s="426"/>
    </row>
    <row r="296" spans="1:10" ht="12.75">
      <c r="A296" s="427" t="s">
        <v>314</v>
      </c>
      <c r="B296" s="428" t="s">
        <v>554</v>
      </c>
      <c r="C296" s="428" t="s">
        <v>550</v>
      </c>
      <c r="D296" s="428" t="s">
        <v>99</v>
      </c>
      <c r="E296" s="428" t="s">
        <v>99</v>
      </c>
      <c r="F296" s="429">
        <f t="shared" si="22"/>
        <v>10352</v>
      </c>
      <c r="G296" s="429">
        <f t="shared" si="22"/>
        <v>10352</v>
      </c>
      <c r="I296" s="426"/>
      <c r="J296" s="426"/>
    </row>
    <row r="297" spans="1:10" ht="63.75">
      <c r="A297" s="434" t="s">
        <v>313</v>
      </c>
      <c r="B297" s="431" t="s">
        <v>554</v>
      </c>
      <c r="C297" s="431" t="s">
        <v>550</v>
      </c>
      <c r="D297" s="436" t="s">
        <v>312</v>
      </c>
      <c r="E297" s="438" t="s">
        <v>99</v>
      </c>
      <c r="F297" s="429">
        <f t="shared" si="22"/>
        <v>10352</v>
      </c>
      <c r="G297" s="429">
        <f t="shared" si="22"/>
        <v>10352</v>
      </c>
      <c r="I297" s="426"/>
      <c r="J297" s="426"/>
    </row>
    <row r="298" spans="1:10" ht="76.5">
      <c r="A298" s="435" t="s">
        <v>311</v>
      </c>
      <c r="B298" s="431" t="s">
        <v>554</v>
      </c>
      <c r="C298" s="431" t="s">
        <v>550</v>
      </c>
      <c r="D298" s="436" t="s">
        <v>418</v>
      </c>
      <c r="E298" s="447" t="s">
        <v>99</v>
      </c>
      <c r="F298" s="429">
        <f t="shared" si="22"/>
        <v>10352</v>
      </c>
      <c r="G298" s="429">
        <f t="shared" si="22"/>
        <v>10352</v>
      </c>
      <c r="I298" s="426"/>
      <c r="J298" s="426"/>
    </row>
    <row r="299" spans="1:10" ht="63.75">
      <c r="A299" s="25" t="s">
        <v>417</v>
      </c>
      <c r="B299" s="431" t="s">
        <v>554</v>
      </c>
      <c r="C299" s="431" t="s">
        <v>550</v>
      </c>
      <c r="D299" s="436" t="s">
        <v>416</v>
      </c>
      <c r="E299" s="447"/>
      <c r="F299" s="429">
        <f t="shared" si="22"/>
        <v>10352</v>
      </c>
      <c r="G299" s="429">
        <f t="shared" si="22"/>
        <v>10352</v>
      </c>
      <c r="I299" s="426"/>
      <c r="J299" s="426"/>
    </row>
    <row r="300" spans="1:10" ht="51">
      <c r="A300" s="25" t="s">
        <v>415</v>
      </c>
      <c r="B300" s="431" t="s">
        <v>554</v>
      </c>
      <c r="C300" s="431" t="s">
        <v>550</v>
      </c>
      <c r="D300" s="436" t="s">
        <v>414</v>
      </c>
      <c r="E300" s="447"/>
      <c r="F300" s="429">
        <f t="shared" si="22"/>
        <v>10352</v>
      </c>
      <c r="G300" s="429">
        <f t="shared" si="22"/>
        <v>10352</v>
      </c>
      <c r="I300" s="426"/>
      <c r="J300" s="426"/>
    </row>
    <row r="301" spans="1:10" ht="25.5">
      <c r="A301" s="430" t="s">
        <v>482</v>
      </c>
      <c r="B301" s="431" t="s">
        <v>554</v>
      </c>
      <c r="C301" s="431" t="s">
        <v>550</v>
      </c>
      <c r="D301" s="436" t="s">
        <v>414</v>
      </c>
      <c r="E301" s="432">
        <v>200</v>
      </c>
      <c r="F301" s="433">
        <v>10352</v>
      </c>
      <c r="G301" s="433">
        <v>10352</v>
      </c>
      <c r="I301" s="426"/>
      <c r="J301" s="426"/>
    </row>
    <row r="302" spans="1:10" ht="25.5">
      <c r="A302" s="422" t="s">
        <v>601</v>
      </c>
      <c r="B302" s="423" t="s">
        <v>218</v>
      </c>
      <c r="C302" s="453" t="s">
        <v>912</v>
      </c>
      <c r="D302" s="423" t="s">
        <v>99</v>
      </c>
      <c r="E302" s="423" t="s">
        <v>99</v>
      </c>
      <c r="F302" s="486">
        <f aca="true" t="shared" si="23" ref="F302:G307">F303</f>
        <v>69812</v>
      </c>
      <c r="G302" s="486">
        <f t="shared" si="23"/>
        <v>69812</v>
      </c>
      <c r="I302" s="426"/>
      <c r="J302" s="426"/>
    </row>
    <row r="303" spans="1:10" ht="25.5">
      <c r="A303" s="427" t="s">
        <v>602</v>
      </c>
      <c r="B303" s="428" t="s">
        <v>218</v>
      </c>
      <c r="C303" s="428" t="s">
        <v>548</v>
      </c>
      <c r="D303" s="454" t="s">
        <v>99</v>
      </c>
      <c r="E303" s="454" t="s">
        <v>99</v>
      </c>
      <c r="F303" s="429">
        <f t="shared" si="23"/>
        <v>69812</v>
      </c>
      <c r="G303" s="429">
        <f t="shared" si="23"/>
        <v>69812</v>
      </c>
      <c r="I303" s="426"/>
      <c r="J303" s="426"/>
    </row>
    <row r="304" spans="1:10" ht="25.5">
      <c r="A304" s="434" t="s">
        <v>711</v>
      </c>
      <c r="B304" s="431" t="s">
        <v>218</v>
      </c>
      <c r="C304" s="431" t="s">
        <v>548</v>
      </c>
      <c r="D304" s="436" t="s">
        <v>440</v>
      </c>
      <c r="E304" s="438" t="s">
        <v>99</v>
      </c>
      <c r="F304" s="429">
        <f t="shared" si="23"/>
        <v>69812</v>
      </c>
      <c r="G304" s="429">
        <f t="shared" si="23"/>
        <v>69812</v>
      </c>
      <c r="I304" s="426"/>
      <c r="J304" s="426"/>
    </row>
    <row r="305" spans="1:10" ht="51">
      <c r="A305" s="435" t="s">
        <v>272</v>
      </c>
      <c r="B305" s="431" t="s">
        <v>218</v>
      </c>
      <c r="C305" s="431" t="s">
        <v>548</v>
      </c>
      <c r="D305" s="436" t="s">
        <v>670</v>
      </c>
      <c r="E305" s="447" t="s">
        <v>99</v>
      </c>
      <c r="F305" s="429">
        <f t="shared" si="23"/>
        <v>69812</v>
      </c>
      <c r="G305" s="429">
        <f t="shared" si="23"/>
        <v>69812</v>
      </c>
      <c r="I305" s="426"/>
      <c r="J305" s="426"/>
    </row>
    <row r="306" spans="1:10" ht="51">
      <c r="A306" s="22" t="s">
        <v>669</v>
      </c>
      <c r="B306" s="431" t="s">
        <v>218</v>
      </c>
      <c r="C306" s="431" t="s">
        <v>548</v>
      </c>
      <c r="D306" s="436" t="s">
        <v>671</v>
      </c>
      <c r="E306" s="447"/>
      <c r="F306" s="429">
        <f t="shared" si="23"/>
        <v>69812</v>
      </c>
      <c r="G306" s="429">
        <f t="shared" si="23"/>
        <v>69812</v>
      </c>
      <c r="I306" s="426"/>
      <c r="J306" s="426"/>
    </row>
    <row r="307" spans="1:10" ht="12.75">
      <c r="A307" s="25" t="s">
        <v>672</v>
      </c>
      <c r="B307" s="431" t="s">
        <v>218</v>
      </c>
      <c r="C307" s="431" t="s">
        <v>548</v>
      </c>
      <c r="D307" s="436" t="s">
        <v>673</v>
      </c>
      <c r="E307" s="438" t="s">
        <v>99</v>
      </c>
      <c r="F307" s="429">
        <f t="shared" si="23"/>
        <v>69812</v>
      </c>
      <c r="G307" s="429">
        <f t="shared" si="23"/>
        <v>69812</v>
      </c>
      <c r="I307" s="426"/>
      <c r="J307" s="426"/>
    </row>
    <row r="308" spans="1:10" ht="25.5">
      <c r="A308" s="487" t="s">
        <v>125</v>
      </c>
      <c r="B308" s="488" t="s">
        <v>218</v>
      </c>
      <c r="C308" s="488" t="s">
        <v>548</v>
      </c>
      <c r="D308" s="489" t="s">
        <v>673</v>
      </c>
      <c r="E308" s="488" t="s">
        <v>94</v>
      </c>
      <c r="F308" s="490">
        <v>69812</v>
      </c>
      <c r="G308" s="490">
        <v>69812</v>
      </c>
      <c r="I308" s="426"/>
      <c r="J308" s="426"/>
    </row>
    <row r="309" spans="1:10" ht="12.75">
      <c r="A309" s="491" t="s">
        <v>749</v>
      </c>
      <c r="B309" s="492"/>
      <c r="C309" s="493"/>
      <c r="D309" s="492" t="s">
        <v>99</v>
      </c>
      <c r="E309" s="492" t="s">
        <v>99</v>
      </c>
      <c r="F309" s="494">
        <v>2983970</v>
      </c>
      <c r="G309" s="494">
        <v>5813100</v>
      </c>
      <c r="I309" s="426"/>
      <c r="J309" s="426"/>
    </row>
  </sheetData>
  <sheetProtection/>
  <mergeCells count="2">
    <mergeCell ref="F3:J3"/>
    <mergeCell ref="A3:E3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K392"/>
  <sheetViews>
    <sheetView showGridLines="0" zoomScaleSheetLayoutView="100" workbookViewId="0" topLeftCell="A1">
      <selection activeCell="H8" sqref="H8"/>
    </sheetView>
  </sheetViews>
  <sheetFormatPr defaultColWidth="9.140625" defaultRowHeight="12.75"/>
  <cols>
    <col min="1" max="1" width="47.57421875" style="211" customWidth="1"/>
    <col min="2" max="2" width="5.140625" style="211" bestFit="1" customWidth="1"/>
    <col min="3" max="4" width="3.8515625" style="211" customWidth="1"/>
    <col min="5" max="5" width="13.28125" style="211" customWidth="1"/>
    <col min="6" max="6" width="4.57421875" style="211" customWidth="1"/>
    <col min="7" max="7" width="14.421875" style="226" customWidth="1"/>
    <col min="8" max="8" width="16.7109375" style="211" bestFit="1" customWidth="1"/>
    <col min="9" max="9" width="11.57421875" style="211" bestFit="1" customWidth="1"/>
    <col min="10" max="16384" width="9.140625" style="211" customWidth="1"/>
  </cols>
  <sheetData>
    <row r="1" spans="1:7" ht="12.75">
      <c r="A1" s="207"/>
      <c r="B1" s="208"/>
      <c r="C1" s="209"/>
      <c r="D1" s="209"/>
      <c r="E1" s="209"/>
      <c r="F1" s="209"/>
      <c r="G1" s="210" t="s">
        <v>229</v>
      </c>
    </row>
    <row r="2" spans="1:7" ht="12.75">
      <c r="A2" s="207"/>
      <c r="B2" s="208"/>
      <c r="C2" s="209"/>
      <c r="D2" s="209"/>
      <c r="E2" s="209"/>
      <c r="F2" s="209"/>
      <c r="G2" s="66" t="s">
        <v>519</v>
      </c>
    </row>
    <row r="3" spans="1:11" ht="12.75">
      <c r="A3" s="207"/>
      <c r="B3" s="208"/>
      <c r="C3" s="209"/>
      <c r="D3" s="634" t="s">
        <v>215</v>
      </c>
      <c r="E3" s="626"/>
      <c r="F3" s="626"/>
      <c r="H3" s="635"/>
      <c r="I3" s="635"/>
      <c r="J3" s="635"/>
      <c r="K3" s="635"/>
    </row>
    <row r="4" spans="1:7" ht="12.75">
      <c r="A4" s="212"/>
      <c r="B4" s="213"/>
      <c r="C4" s="209"/>
      <c r="D4" s="209"/>
      <c r="E4" s="209"/>
      <c r="F4" s="209"/>
      <c r="G4" s="214"/>
    </row>
    <row r="5" spans="1:7" ht="12.75">
      <c r="A5" s="215" t="s">
        <v>806</v>
      </c>
      <c r="B5" s="216"/>
      <c r="C5" s="216"/>
      <c r="D5" s="216"/>
      <c r="E5" s="216"/>
      <c r="F5" s="216"/>
      <c r="G5" s="217"/>
    </row>
    <row r="6" spans="1:7" ht="12.75">
      <c r="A6" s="218"/>
      <c r="B6" s="220"/>
      <c r="C6" s="220"/>
      <c r="D6" s="220"/>
      <c r="E6" s="220"/>
      <c r="F6" s="220"/>
      <c r="G6" s="221" t="s">
        <v>100</v>
      </c>
    </row>
    <row r="7" spans="1:7" ht="12.75">
      <c r="A7" s="222" t="s">
        <v>96</v>
      </c>
      <c r="B7" s="223" t="s">
        <v>227</v>
      </c>
      <c r="C7" s="223" t="s">
        <v>541</v>
      </c>
      <c r="D7" s="223" t="s">
        <v>542</v>
      </c>
      <c r="E7" s="223" t="s">
        <v>543</v>
      </c>
      <c r="F7" s="223" t="s">
        <v>544</v>
      </c>
      <c r="G7" s="224" t="s">
        <v>615</v>
      </c>
    </row>
    <row r="8" spans="1:9" ht="12.75">
      <c r="A8" s="222" t="s">
        <v>598</v>
      </c>
      <c r="B8" s="223" t="s">
        <v>97</v>
      </c>
      <c r="C8" s="223" t="s">
        <v>599</v>
      </c>
      <c r="D8" s="223" t="s">
        <v>545</v>
      </c>
      <c r="E8" s="223" t="s">
        <v>546</v>
      </c>
      <c r="F8" s="223" t="s">
        <v>547</v>
      </c>
      <c r="G8" s="224" t="s">
        <v>12</v>
      </c>
      <c r="H8" s="225"/>
      <c r="I8" s="226"/>
    </row>
    <row r="9" spans="1:9" ht="12.75">
      <c r="A9" s="227" t="s">
        <v>101</v>
      </c>
      <c r="B9" s="228"/>
      <c r="C9" s="228" t="s">
        <v>99</v>
      </c>
      <c r="D9" s="228" t="s">
        <v>99</v>
      </c>
      <c r="E9" s="228" t="s">
        <v>99</v>
      </c>
      <c r="F9" s="228" t="s">
        <v>99</v>
      </c>
      <c r="G9" s="229">
        <f>G10+G309+G384</f>
        <v>367369518.37</v>
      </c>
      <c r="H9" s="230"/>
      <c r="I9" s="231"/>
    </row>
    <row r="10" spans="1:9" ht="12.75">
      <c r="A10" s="232" t="s">
        <v>659</v>
      </c>
      <c r="B10" s="233" t="s">
        <v>742</v>
      </c>
      <c r="C10" s="234"/>
      <c r="D10" s="234"/>
      <c r="E10" s="234"/>
      <c r="F10" s="234"/>
      <c r="G10" s="235">
        <f>G11+G83+G89+G102+G133+G162+G168+G242+G261+G267+G302</f>
        <v>343631857.37</v>
      </c>
      <c r="H10" s="236"/>
      <c r="I10" s="231"/>
    </row>
    <row r="11" spans="1:9" ht="12.75">
      <c r="A11" s="237" t="s">
        <v>28</v>
      </c>
      <c r="B11" s="238"/>
      <c r="C11" s="238" t="s">
        <v>548</v>
      </c>
      <c r="D11" s="239" t="s">
        <v>912</v>
      </c>
      <c r="E11" s="238" t="s">
        <v>99</v>
      </c>
      <c r="F11" s="238" t="s">
        <v>99</v>
      </c>
      <c r="G11" s="240">
        <f>G12+G17+G27+G32+G37</f>
        <v>34681228</v>
      </c>
      <c r="I11" s="231"/>
    </row>
    <row r="12" spans="1:9" ht="38.25">
      <c r="A12" s="241" t="s">
        <v>549</v>
      </c>
      <c r="B12" s="242"/>
      <c r="C12" s="242" t="s">
        <v>548</v>
      </c>
      <c r="D12" s="242" t="s">
        <v>550</v>
      </c>
      <c r="E12" s="242" t="s">
        <v>99</v>
      </c>
      <c r="F12" s="242" t="s">
        <v>99</v>
      </c>
      <c r="G12" s="243">
        <f>G13</f>
        <v>1217683</v>
      </c>
      <c r="I12" s="231"/>
    </row>
    <row r="13" spans="1:9" ht="25.5">
      <c r="A13" s="244" t="s">
        <v>17</v>
      </c>
      <c r="B13" s="245"/>
      <c r="C13" s="245" t="s">
        <v>548</v>
      </c>
      <c r="D13" s="245" t="s">
        <v>550</v>
      </c>
      <c r="E13" s="245" t="s">
        <v>433</v>
      </c>
      <c r="F13" s="245" t="s">
        <v>99</v>
      </c>
      <c r="G13" s="243">
        <f>G14</f>
        <v>1217683</v>
      </c>
      <c r="I13" s="231"/>
    </row>
    <row r="14" spans="1:9" ht="12.75">
      <c r="A14" s="244" t="s">
        <v>228</v>
      </c>
      <c r="B14" s="245"/>
      <c r="C14" s="245" t="s">
        <v>548</v>
      </c>
      <c r="D14" s="245" t="s">
        <v>550</v>
      </c>
      <c r="E14" s="245" t="s">
        <v>434</v>
      </c>
      <c r="F14" s="246" t="s">
        <v>99</v>
      </c>
      <c r="G14" s="243">
        <f>G15</f>
        <v>1217683</v>
      </c>
      <c r="I14" s="231"/>
    </row>
    <row r="15" spans="1:9" ht="25.5">
      <c r="A15" s="246" t="s">
        <v>514</v>
      </c>
      <c r="B15" s="245"/>
      <c r="C15" s="245" t="s">
        <v>548</v>
      </c>
      <c r="D15" s="245" t="s">
        <v>550</v>
      </c>
      <c r="E15" s="245" t="s">
        <v>435</v>
      </c>
      <c r="F15" s="245" t="s">
        <v>99</v>
      </c>
      <c r="G15" s="243">
        <f>G16</f>
        <v>1217683</v>
      </c>
      <c r="I15" s="231"/>
    </row>
    <row r="16" spans="1:9" ht="63.75">
      <c r="A16" s="244" t="s">
        <v>104</v>
      </c>
      <c r="B16" s="245"/>
      <c r="C16" s="245" t="s">
        <v>548</v>
      </c>
      <c r="D16" s="245" t="s">
        <v>550</v>
      </c>
      <c r="E16" s="245" t="s">
        <v>435</v>
      </c>
      <c r="F16" s="245" t="s">
        <v>27</v>
      </c>
      <c r="G16" s="247">
        <v>1217683</v>
      </c>
      <c r="I16" s="231"/>
    </row>
    <row r="17" spans="1:9" ht="51">
      <c r="A17" s="241" t="s">
        <v>502</v>
      </c>
      <c r="B17" s="242"/>
      <c r="C17" s="242" t="s">
        <v>548</v>
      </c>
      <c r="D17" s="242" t="s">
        <v>551</v>
      </c>
      <c r="E17" s="242" t="s">
        <v>99</v>
      </c>
      <c r="F17" s="242" t="s">
        <v>99</v>
      </c>
      <c r="G17" s="243">
        <f>G18</f>
        <v>10953623</v>
      </c>
      <c r="I17" s="231"/>
    </row>
    <row r="18" spans="1:9" ht="25.5">
      <c r="A18" s="244" t="s">
        <v>467</v>
      </c>
      <c r="B18" s="245"/>
      <c r="C18" s="245" t="s">
        <v>548</v>
      </c>
      <c r="D18" s="245" t="s">
        <v>551</v>
      </c>
      <c r="E18" s="245" t="s">
        <v>436</v>
      </c>
      <c r="F18" s="245" t="s">
        <v>99</v>
      </c>
      <c r="G18" s="243">
        <f>G19</f>
        <v>10953623</v>
      </c>
      <c r="I18" s="231"/>
    </row>
    <row r="19" spans="1:9" ht="25.5">
      <c r="A19" s="244" t="s">
        <v>473</v>
      </c>
      <c r="B19" s="245"/>
      <c r="C19" s="245" t="s">
        <v>548</v>
      </c>
      <c r="D19" s="245" t="s">
        <v>551</v>
      </c>
      <c r="E19" s="245" t="s">
        <v>437</v>
      </c>
      <c r="F19" s="246" t="s">
        <v>99</v>
      </c>
      <c r="G19" s="243">
        <f>G20+G23</f>
        <v>10953623</v>
      </c>
      <c r="I19" s="231"/>
    </row>
    <row r="20" spans="1:9" ht="38.25">
      <c r="A20" s="244" t="s">
        <v>610</v>
      </c>
      <c r="B20" s="245"/>
      <c r="C20" s="245" t="s">
        <v>548</v>
      </c>
      <c r="D20" s="245" t="s">
        <v>551</v>
      </c>
      <c r="E20" s="245" t="s">
        <v>438</v>
      </c>
      <c r="F20" s="246"/>
      <c r="G20" s="243">
        <f>SUM(G21:G22)</f>
        <v>296000</v>
      </c>
      <c r="I20" s="231"/>
    </row>
    <row r="21" spans="1:9" ht="63.75">
      <c r="A21" s="244" t="s">
        <v>104</v>
      </c>
      <c r="B21" s="245"/>
      <c r="C21" s="245" t="s">
        <v>548</v>
      </c>
      <c r="D21" s="245" t="s">
        <v>551</v>
      </c>
      <c r="E21" s="245" t="s">
        <v>438</v>
      </c>
      <c r="F21" s="246">
        <v>100</v>
      </c>
      <c r="G21" s="247">
        <v>285000</v>
      </c>
      <c r="I21" s="231"/>
    </row>
    <row r="22" spans="1:9" ht="25.5">
      <c r="A22" s="244" t="s">
        <v>482</v>
      </c>
      <c r="B22" s="245"/>
      <c r="C22" s="245" t="s">
        <v>548</v>
      </c>
      <c r="D22" s="245" t="s">
        <v>551</v>
      </c>
      <c r="E22" s="245" t="s">
        <v>438</v>
      </c>
      <c r="F22" s="246">
        <v>200</v>
      </c>
      <c r="G22" s="247">
        <v>11000</v>
      </c>
      <c r="I22" s="231"/>
    </row>
    <row r="23" spans="1:9" ht="25.5">
      <c r="A23" s="246" t="s">
        <v>514</v>
      </c>
      <c r="B23" s="245"/>
      <c r="C23" s="245" t="s">
        <v>548</v>
      </c>
      <c r="D23" s="245" t="s">
        <v>551</v>
      </c>
      <c r="E23" s="245" t="s">
        <v>439</v>
      </c>
      <c r="F23" s="245" t="s">
        <v>99</v>
      </c>
      <c r="G23" s="243">
        <f>SUM(G24:G26)</f>
        <v>10657623</v>
      </c>
      <c r="I23" s="231"/>
    </row>
    <row r="24" spans="1:9" ht="63.75">
      <c r="A24" s="244" t="s">
        <v>104</v>
      </c>
      <c r="B24" s="245"/>
      <c r="C24" s="245" t="s">
        <v>548</v>
      </c>
      <c r="D24" s="245" t="s">
        <v>551</v>
      </c>
      <c r="E24" s="245" t="s">
        <v>439</v>
      </c>
      <c r="F24" s="245">
        <v>100</v>
      </c>
      <c r="G24" s="247">
        <v>9736676</v>
      </c>
      <c r="I24" s="231"/>
    </row>
    <row r="25" spans="1:9" ht="25.5">
      <c r="A25" s="244" t="s">
        <v>482</v>
      </c>
      <c r="B25" s="245"/>
      <c r="C25" s="245" t="s">
        <v>548</v>
      </c>
      <c r="D25" s="245" t="s">
        <v>551</v>
      </c>
      <c r="E25" s="245" t="s">
        <v>439</v>
      </c>
      <c r="F25" s="245">
        <v>200</v>
      </c>
      <c r="G25" s="247">
        <v>786632</v>
      </c>
      <c r="I25" s="231"/>
    </row>
    <row r="26" spans="1:9" ht="12.75">
      <c r="A26" s="244" t="s">
        <v>89</v>
      </c>
      <c r="B26" s="245"/>
      <c r="C26" s="245" t="s">
        <v>548</v>
      </c>
      <c r="D26" s="245" t="s">
        <v>551</v>
      </c>
      <c r="E26" s="245" t="s">
        <v>439</v>
      </c>
      <c r="F26" s="245">
        <v>800</v>
      </c>
      <c r="G26" s="247">
        <v>134315</v>
      </c>
      <c r="I26" s="231"/>
    </row>
    <row r="27" spans="1:9" ht="12.75">
      <c r="A27" s="608" t="s">
        <v>458</v>
      </c>
      <c r="B27" s="609"/>
      <c r="C27" s="609" t="s">
        <v>548</v>
      </c>
      <c r="D27" s="610" t="s">
        <v>767</v>
      </c>
      <c r="E27" s="609"/>
      <c r="F27" s="609"/>
      <c r="G27" s="247">
        <v>9720</v>
      </c>
      <c r="I27" s="231"/>
    </row>
    <row r="28" spans="1:9" ht="25.5">
      <c r="A28" s="611" t="s">
        <v>391</v>
      </c>
      <c r="B28" s="609"/>
      <c r="C28" s="609" t="s">
        <v>548</v>
      </c>
      <c r="D28" s="610" t="s">
        <v>767</v>
      </c>
      <c r="E28" s="612" t="s">
        <v>820</v>
      </c>
      <c r="F28" s="609"/>
      <c r="G28" s="247">
        <v>9720</v>
      </c>
      <c r="I28" s="231"/>
    </row>
    <row r="29" spans="1:9" ht="25.5">
      <c r="A29" s="613" t="s">
        <v>392</v>
      </c>
      <c r="B29" s="609"/>
      <c r="C29" s="609" t="s">
        <v>548</v>
      </c>
      <c r="D29" s="610" t="s">
        <v>767</v>
      </c>
      <c r="E29" s="612" t="s">
        <v>822</v>
      </c>
      <c r="F29" s="609"/>
      <c r="G29" s="247">
        <v>9720</v>
      </c>
      <c r="I29" s="231"/>
    </row>
    <row r="30" spans="1:9" ht="51">
      <c r="A30" s="613" t="s">
        <v>459</v>
      </c>
      <c r="B30" s="609"/>
      <c r="C30" s="609" t="s">
        <v>548</v>
      </c>
      <c r="D30" s="610" t="s">
        <v>767</v>
      </c>
      <c r="E30" s="612" t="s">
        <v>460</v>
      </c>
      <c r="F30" s="609"/>
      <c r="G30" s="247">
        <v>9720</v>
      </c>
      <c r="I30" s="231"/>
    </row>
    <row r="31" spans="1:9" ht="25.5">
      <c r="A31" s="608" t="s">
        <v>482</v>
      </c>
      <c r="B31" s="609"/>
      <c r="C31" s="609" t="s">
        <v>548</v>
      </c>
      <c r="D31" s="610" t="s">
        <v>767</v>
      </c>
      <c r="E31" s="612" t="s">
        <v>460</v>
      </c>
      <c r="F31" s="609">
        <v>200</v>
      </c>
      <c r="G31" s="247">
        <v>9720</v>
      </c>
      <c r="I31" s="231"/>
    </row>
    <row r="32" spans="1:9" ht="12.75">
      <c r="A32" s="241" t="s">
        <v>553</v>
      </c>
      <c r="B32" s="242"/>
      <c r="C32" s="242" t="s">
        <v>548</v>
      </c>
      <c r="D32" s="242" t="s">
        <v>554</v>
      </c>
      <c r="E32" s="242" t="s">
        <v>99</v>
      </c>
      <c r="F32" s="242" t="s">
        <v>99</v>
      </c>
      <c r="G32" s="243">
        <f>G33</f>
        <v>79630</v>
      </c>
      <c r="I32" s="231"/>
    </row>
    <row r="33" spans="1:9" ht="17.25" customHeight="1">
      <c r="A33" s="244" t="s">
        <v>714</v>
      </c>
      <c r="B33" s="245"/>
      <c r="C33" s="245" t="s">
        <v>548</v>
      </c>
      <c r="D33" s="245" t="s">
        <v>554</v>
      </c>
      <c r="E33" s="245" t="s">
        <v>446</v>
      </c>
      <c r="F33" s="245" t="s">
        <v>99</v>
      </c>
      <c r="G33" s="243">
        <f>G34</f>
        <v>79630</v>
      </c>
      <c r="I33" s="231"/>
    </row>
    <row r="34" spans="1:9" ht="12.75">
      <c r="A34" s="244" t="s">
        <v>553</v>
      </c>
      <c r="B34" s="245"/>
      <c r="C34" s="245" t="s">
        <v>548</v>
      </c>
      <c r="D34" s="245" t="s">
        <v>554</v>
      </c>
      <c r="E34" s="245" t="s">
        <v>447</v>
      </c>
      <c r="F34" s="246" t="s">
        <v>99</v>
      </c>
      <c r="G34" s="243">
        <f>G35</f>
        <v>79630</v>
      </c>
      <c r="I34" s="231"/>
    </row>
    <row r="35" spans="1:9" ht="12.75">
      <c r="A35" s="246" t="s">
        <v>517</v>
      </c>
      <c r="B35" s="245"/>
      <c r="C35" s="245" t="s">
        <v>548</v>
      </c>
      <c r="D35" s="245" t="s">
        <v>554</v>
      </c>
      <c r="E35" s="245" t="s">
        <v>807</v>
      </c>
      <c r="F35" s="248" t="s">
        <v>99</v>
      </c>
      <c r="G35" s="243">
        <f>G36</f>
        <v>79630</v>
      </c>
      <c r="I35" s="231"/>
    </row>
    <row r="36" spans="1:9" ht="12.75">
      <c r="A36" s="244" t="s">
        <v>89</v>
      </c>
      <c r="B36" s="245"/>
      <c r="C36" s="245" t="s">
        <v>548</v>
      </c>
      <c r="D36" s="245" t="s">
        <v>554</v>
      </c>
      <c r="E36" s="245" t="s">
        <v>807</v>
      </c>
      <c r="F36" s="245" t="s">
        <v>90</v>
      </c>
      <c r="G36" s="247">
        <v>79630</v>
      </c>
      <c r="I36" s="231"/>
    </row>
    <row r="37" spans="1:9" ht="12.75">
      <c r="A37" s="241" t="s">
        <v>470</v>
      </c>
      <c r="B37" s="242"/>
      <c r="C37" s="242" t="s">
        <v>548</v>
      </c>
      <c r="D37" s="242" t="s">
        <v>218</v>
      </c>
      <c r="E37" s="242" t="s">
        <v>99</v>
      </c>
      <c r="F37" s="242" t="s">
        <v>99</v>
      </c>
      <c r="G37" s="243">
        <f>G38+G45+G56+G61+G65+G82</f>
        <v>22420572</v>
      </c>
      <c r="I37" s="231"/>
    </row>
    <row r="38" spans="1:9" ht="51">
      <c r="A38" s="249" t="s">
        <v>476</v>
      </c>
      <c r="B38" s="245"/>
      <c r="C38" s="245" t="s">
        <v>548</v>
      </c>
      <c r="D38" s="245" t="s">
        <v>218</v>
      </c>
      <c r="E38" s="250" t="s">
        <v>814</v>
      </c>
      <c r="F38" s="245" t="s">
        <v>99</v>
      </c>
      <c r="G38" s="243">
        <f>G39</f>
        <v>2242430</v>
      </c>
      <c r="I38" s="231"/>
    </row>
    <row r="39" spans="1:9" ht="76.5">
      <c r="A39" s="251" t="s">
        <v>872</v>
      </c>
      <c r="B39" s="245"/>
      <c r="C39" s="245" t="s">
        <v>548</v>
      </c>
      <c r="D39" s="245" t="s">
        <v>218</v>
      </c>
      <c r="E39" s="250" t="s">
        <v>815</v>
      </c>
      <c r="F39" s="248" t="s">
        <v>99</v>
      </c>
      <c r="G39" s="243">
        <f>G40</f>
        <v>2242430</v>
      </c>
      <c r="I39" s="231"/>
    </row>
    <row r="40" spans="1:9" ht="41.25" customHeight="1">
      <c r="A40" s="23" t="s">
        <v>844</v>
      </c>
      <c r="B40" s="245"/>
      <c r="C40" s="245" t="s">
        <v>548</v>
      </c>
      <c r="D40" s="245" t="s">
        <v>218</v>
      </c>
      <c r="E40" s="250" t="s">
        <v>816</v>
      </c>
      <c r="F40" s="248"/>
      <c r="G40" s="243">
        <f>G41</f>
        <v>2242430</v>
      </c>
      <c r="I40" s="231"/>
    </row>
    <row r="41" spans="1:9" ht="12.75">
      <c r="A41" s="246" t="s">
        <v>612</v>
      </c>
      <c r="B41" s="245"/>
      <c r="C41" s="245" t="s">
        <v>548</v>
      </c>
      <c r="D41" s="245" t="s">
        <v>218</v>
      </c>
      <c r="E41" s="250" t="s">
        <v>817</v>
      </c>
      <c r="F41" s="248" t="s">
        <v>99</v>
      </c>
      <c r="G41" s="243">
        <f>SUM(G42:G44)</f>
        <v>2242430</v>
      </c>
      <c r="I41" s="231"/>
    </row>
    <row r="42" spans="1:9" ht="25.5">
      <c r="A42" s="244" t="s">
        <v>482</v>
      </c>
      <c r="B42" s="245"/>
      <c r="C42" s="245" t="s">
        <v>548</v>
      </c>
      <c r="D42" s="245" t="s">
        <v>218</v>
      </c>
      <c r="E42" s="250" t="s">
        <v>817</v>
      </c>
      <c r="F42" s="245" t="s">
        <v>600</v>
      </c>
      <c r="G42" s="247">
        <v>1825083</v>
      </c>
      <c r="I42" s="231"/>
    </row>
    <row r="43" spans="1:9" ht="25.5">
      <c r="A43" s="201" t="s">
        <v>353</v>
      </c>
      <c r="B43" s="245"/>
      <c r="C43" s="245" t="s">
        <v>548</v>
      </c>
      <c r="D43" s="245" t="s">
        <v>218</v>
      </c>
      <c r="E43" s="250" t="s">
        <v>817</v>
      </c>
      <c r="F43" s="245">
        <v>400</v>
      </c>
      <c r="G43" s="247">
        <v>311000</v>
      </c>
      <c r="I43" s="231"/>
    </row>
    <row r="44" spans="1:9" ht="12.75">
      <c r="A44" s="244" t="s">
        <v>89</v>
      </c>
      <c r="B44" s="245"/>
      <c r="C44" s="245" t="s">
        <v>548</v>
      </c>
      <c r="D44" s="245" t="s">
        <v>218</v>
      </c>
      <c r="E44" s="250" t="s">
        <v>817</v>
      </c>
      <c r="F44" s="245">
        <v>800</v>
      </c>
      <c r="G44" s="247">
        <v>106347</v>
      </c>
      <c r="I44" s="231"/>
    </row>
    <row r="45" spans="1:9" ht="52.5" customHeight="1">
      <c r="A45" s="252" t="s">
        <v>931</v>
      </c>
      <c r="B45" s="245"/>
      <c r="C45" s="245" t="s">
        <v>548</v>
      </c>
      <c r="D45" s="245" t="s">
        <v>218</v>
      </c>
      <c r="E45" s="245" t="s">
        <v>818</v>
      </c>
      <c r="F45" s="245"/>
      <c r="G45" s="243">
        <f>G46</f>
        <v>466000</v>
      </c>
      <c r="I45" s="231"/>
    </row>
    <row r="46" spans="1:9" ht="76.5">
      <c r="A46" s="253" t="s">
        <v>56</v>
      </c>
      <c r="B46" s="245"/>
      <c r="C46" s="245" t="s">
        <v>548</v>
      </c>
      <c r="D46" s="245" t="s">
        <v>218</v>
      </c>
      <c r="E46" s="245" t="s">
        <v>819</v>
      </c>
      <c r="F46" s="245"/>
      <c r="G46" s="243">
        <f>G47+G53</f>
        <v>466000</v>
      </c>
      <c r="I46" s="231"/>
    </row>
    <row r="47" spans="1:9" ht="38.25">
      <c r="A47" s="244" t="s">
        <v>196</v>
      </c>
      <c r="B47" s="245"/>
      <c r="C47" s="245" t="s">
        <v>548</v>
      </c>
      <c r="D47" s="245" t="s">
        <v>218</v>
      </c>
      <c r="E47" s="245" t="s">
        <v>454</v>
      </c>
      <c r="F47" s="245"/>
      <c r="G47" s="243">
        <f>G48+G51</f>
        <v>446000</v>
      </c>
      <c r="I47" s="231"/>
    </row>
    <row r="48" spans="1:9" ht="51">
      <c r="A48" s="244" t="s">
        <v>453</v>
      </c>
      <c r="B48" s="245"/>
      <c r="C48" s="245" t="s">
        <v>548</v>
      </c>
      <c r="D48" s="245" t="s">
        <v>218</v>
      </c>
      <c r="E48" s="245" t="s">
        <v>901</v>
      </c>
      <c r="F48" s="245"/>
      <c r="G48" s="243">
        <f>SUM(G49:G50)</f>
        <v>296000</v>
      </c>
      <c r="I48" s="231"/>
    </row>
    <row r="49" spans="1:9" ht="63.75">
      <c r="A49" s="244" t="s">
        <v>104</v>
      </c>
      <c r="B49" s="245"/>
      <c r="C49" s="245" t="s">
        <v>548</v>
      </c>
      <c r="D49" s="245" t="s">
        <v>218</v>
      </c>
      <c r="E49" s="245" t="s">
        <v>901</v>
      </c>
      <c r="F49" s="245">
        <v>100</v>
      </c>
      <c r="G49" s="247">
        <v>294350</v>
      </c>
      <c r="I49" s="231"/>
    </row>
    <row r="50" spans="1:9" ht="25.5">
      <c r="A50" s="244" t="s">
        <v>482</v>
      </c>
      <c r="B50" s="245"/>
      <c r="C50" s="245" t="s">
        <v>548</v>
      </c>
      <c r="D50" s="245" t="s">
        <v>218</v>
      </c>
      <c r="E50" s="245" t="s">
        <v>901</v>
      </c>
      <c r="F50" s="245">
        <v>200</v>
      </c>
      <c r="G50" s="247">
        <v>1650</v>
      </c>
      <c r="I50" s="231"/>
    </row>
    <row r="51" spans="1:9" ht="36">
      <c r="A51" s="28" t="s">
        <v>586</v>
      </c>
      <c r="B51" s="245"/>
      <c r="C51" s="245" t="s">
        <v>548</v>
      </c>
      <c r="D51" s="245" t="s">
        <v>218</v>
      </c>
      <c r="E51" s="245" t="s">
        <v>684</v>
      </c>
      <c r="F51" s="245"/>
      <c r="G51" s="247">
        <v>150000</v>
      </c>
      <c r="I51" s="231"/>
    </row>
    <row r="52" spans="1:9" ht="25.5">
      <c r="A52" s="244" t="s">
        <v>482</v>
      </c>
      <c r="B52" s="245"/>
      <c r="C52" s="245" t="s">
        <v>548</v>
      </c>
      <c r="D52" s="245" t="s">
        <v>218</v>
      </c>
      <c r="E52" s="245" t="s">
        <v>684</v>
      </c>
      <c r="F52" s="245">
        <v>200</v>
      </c>
      <c r="G52" s="247">
        <v>150000</v>
      </c>
      <c r="I52" s="231"/>
    </row>
    <row r="53" spans="1:9" ht="38.25">
      <c r="A53" s="244" t="s">
        <v>197</v>
      </c>
      <c r="B53" s="245"/>
      <c r="C53" s="245" t="s">
        <v>548</v>
      </c>
      <c r="D53" s="245" t="s">
        <v>218</v>
      </c>
      <c r="E53" s="245" t="s">
        <v>590</v>
      </c>
      <c r="F53" s="245"/>
      <c r="G53" s="243">
        <f>G54</f>
        <v>20000</v>
      </c>
      <c r="I53" s="231"/>
    </row>
    <row r="54" spans="1:9" ht="36">
      <c r="A54" s="28" t="s">
        <v>586</v>
      </c>
      <c r="B54" s="245"/>
      <c r="C54" s="245" t="s">
        <v>548</v>
      </c>
      <c r="D54" s="245" t="s">
        <v>218</v>
      </c>
      <c r="E54" s="245" t="s">
        <v>587</v>
      </c>
      <c r="F54" s="245"/>
      <c r="G54" s="243">
        <f>G55</f>
        <v>20000</v>
      </c>
      <c r="I54" s="231"/>
    </row>
    <row r="55" spans="1:9" ht="25.5">
      <c r="A55" s="244" t="s">
        <v>482</v>
      </c>
      <c r="B55" s="245"/>
      <c r="C55" s="245" t="s">
        <v>548</v>
      </c>
      <c r="D55" s="245" t="s">
        <v>218</v>
      </c>
      <c r="E55" s="245" t="s">
        <v>587</v>
      </c>
      <c r="F55" s="245">
        <v>200</v>
      </c>
      <c r="G55" s="247">
        <v>20000</v>
      </c>
      <c r="I55" s="231"/>
    </row>
    <row r="56" spans="1:9" ht="38.25" customHeight="1">
      <c r="A56" s="252" t="s">
        <v>873</v>
      </c>
      <c r="B56" s="245"/>
      <c r="C56" s="245" t="s">
        <v>548</v>
      </c>
      <c r="D56" s="245" t="s">
        <v>218</v>
      </c>
      <c r="E56" s="245" t="s">
        <v>494</v>
      </c>
      <c r="F56" s="245"/>
      <c r="G56" s="243">
        <f>G57</f>
        <v>30000</v>
      </c>
      <c r="I56" s="231"/>
    </row>
    <row r="57" spans="1:9" ht="63.75">
      <c r="A57" s="253" t="s">
        <v>874</v>
      </c>
      <c r="B57" s="245"/>
      <c r="C57" s="245" t="s">
        <v>548</v>
      </c>
      <c r="D57" s="245" t="s">
        <v>218</v>
      </c>
      <c r="E57" s="245" t="s">
        <v>495</v>
      </c>
      <c r="F57" s="245"/>
      <c r="G57" s="243">
        <f>G58</f>
        <v>30000</v>
      </c>
      <c r="I57" s="231"/>
    </row>
    <row r="58" spans="1:9" ht="38.25">
      <c r="A58" s="244" t="s">
        <v>664</v>
      </c>
      <c r="B58" s="245"/>
      <c r="C58" s="245" t="s">
        <v>548</v>
      </c>
      <c r="D58" s="245" t="s">
        <v>218</v>
      </c>
      <c r="E58" s="245" t="s">
        <v>665</v>
      </c>
      <c r="F58" s="245"/>
      <c r="G58" s="243">
        <f>G59</f>
        <v>30000</v>
      </c>
      <c r="I58" s="231"/>
    </row>
    <row r="59" spans="1:9" ht="38.25">
      <c r="A59" s="244" t="s">
        <v>667</v>
      </c>
      <c r="B59" s="245"/>
      <c r="C59" s="245" t="s">
        <v>548</v>
      </c>
      <c r="D59" s="245" t="s">
        <v>218</v>
      </c>
      <c r="E59" s="245" t="s">
        <v>666</v>
      </c>
      <c r="F59" s="245"/>
      <c r="G59" s="243">
        <f>G60</f>
        <v>30000</v>
      </c>
      <c r="I59" s="231"/>
    </row>
    <row r="60" spans="1:9" ht="25.5">
      <c r="A60" s="244" t="s">
        <v>482</v>
      </c>
      <c r="B60" s="245"/>
      <c r="C60" s="245" t="s">
        <v>548</v>
      </c>
      <c r="D60" s="245" t="s">
        <v>218</v>
      </c>
      <c r="E60" s="245" t="s">
        <v>666</v>
      </c>
      <c r="F60" s="245">
        <v>200</v>
      </c>
      <c r="G60" s="247">
        <v>30000</v>
      </c>
      <c r="I60" s="231"/>
    </row>
    <row r="61" spans="1:9" ht="25.5">
      <c r="A61" s="244" t="s">
        <v>537</v>
      </c>
      <c r="B61" s="245"/>
      <c r="C61" s="245" t="s">
        <v>548</v>
      </c>
      <c r="D61" s="245" t="s">
        <v>218</v>
      </c>
      <c r="E61" s="250" t="s">
        <v>536</v>
      </c>
      <c r="F61" s="245"/>
      <c r="G61" s="247">
        <f>G62</f>
        <v>61500</v>
      </c>
      <c r="I61" s="231"/>
    </row>
    <row r="62" spans="1:9" ht="12.75">
      <c r="A62" s="253" t="s">
        <v>535</v>
      </c>
      <c r="B62" s="245"/>
      <c r="C62" s="245" t="s">
        <v>548</v>
      </c>
      <c r="D62" s="245" t="s">
        <v>218</v>
      </c>
      <c r="E62" s="250" t="s">
        <v>534</v>
      </c>
      <c r="F62" s="245"/>
      <c r="G62" s="247">
        <f>G63</f>
        <v>61500</v>
      </c>
      <c r="I62" s="231"/>
    </row>
    <row r="63" spans="1:9" ht="25.5">
      <c r="A63" s="246" t="s">
        <v>843</v>
      </c>
      <c r="B63" s="245"/>
      <c r="C63" s="245" t="s">
        <v>548</v>
      </c>
      <c r="D63" s="245" t="s">
        <v>218</v>
      </c>
      <c r="E63" s="250" t="s">
        <v>497</v>
      </c>
      <c r="F63" s="245"/>
      <c r="G63" s="247">
        <f>G64</f>
        <v>61500</v>
      </c>
      <c r="I63" s="231"/>
    </row>
    <row r="64" spans="1:9" ht="12.75">
      <c r="A64" s="244" t="s">
        <v>89</v>
      </c>
      <c r="B64" s="245"/>
      <c r="C64" s="245" t="s">
        <v>548</v>
      </c>
      <c r="D64" s="245" t="s">
        <v>218</v>
      </c>
      <c r="E64" s="250" t="s">
        <v>497</v>
      </c>
      <c r="F64" s="245">
        <v>800</v>
      </c>
      <c r="G64" s="247">
        <v>61500</v>
      </c>
      <c r="I64" s="231"/>
    </row>
    <row r="65" spans="1:9" ht="25.5">
      <c r="A65" s="252" t="s">
        <v>391</v>
      </c>
      <c r="B65" s="245"/>
      <c r="C65" s="245" t="s">
        <v>548</v>
      </c>
      <c r="D65" s="245" t="s">
        <v>218</v>
      </c>
      <c r="E65" s="250" t="s">
        <v>820</v>
      </c>
      <c r="F65" s="248" t="s">
        <v>99</v>
      </c>
      <c r="G65" s="243">
        <f>G66</f>
        <v>19560642</v>
      </c>
      <c r="I65" s="231"/>
    </row>
    <row r="66" spans="1:9" ht="25.5">
      <c r="A66" s="253" t="s">
        <v>392</v>
      </c>
      <c r="B66" s="245"/>
      <c r="C66" s="245" t="s">
        <v>548</v>
      </c>
      <c r="D66" s="245" t="s">
        <v>218</v>
      </c>
      <c r="E66" s="254" t="s">
        <v>822</v>
      </c>
      <c r="F66" s="255" t="s">
        <v>99</v>
      </c>
      <c r="G66" s="243">
        <f>G67+G71+G74+G76</f>
        <v>19560642</v>
      </c>
      <c r="I66" s="231"/>
    </row>
    <row r="67" spans="1:9" ht="25.5">
      <c r="A67" s="246" t="s">
        <v>126</v>
      </c>
      <c r="B67" s="245"/>
      <c r="C67" s="245" t="s">
        <v>548</v>
      </c>
      <c r="D67" s="245" t="s">
        <v>218</v>
      </c>
      <c r="E67" s="250" t="s">
        <v>823</v>
      </c>
      <c r="F67" s="248" t="s">
        <v>99</v>
      </c>
      <c r="G67" s="243">
        <f>SUM(G68:G70)</f>
        <v>17013755</v>
      </c>
      <c r="I67" s="231"/>
    </row>
    <row r="68" spans="1:9" ht="63.75">
      <c r="A68" s="244" t="s">
        <v>104</v>
      </c>
      <c r="B68" s="245"/>
      <c r="C68" s="245" t="s">
        <v>548</v>
      </c>
      <c r="D68" s="245" t="s">
        <v>218</v>
      </c>
      <c r="E68" s="250" t="s">
        <v>823</v>
      </c>
      <c r="F68" s="245" t="s">
        <v>27</v>
      </c>
      <c r="G68" s="247">
        <v>16441716</v>
      </c>
      <c r="I68" s="231"/>
    </row>
    <row r="69" spans="1:9" ht="25.5">
      <c r="A69" s="244" t="s">
        <v>482</v>
      </c>
      <c r="B69" s="245"/>
      <c r="C69" s="245" t="s">
        <v>548</v>
      </c>
      <c r="D69" s="245" t="s">
        <v>218</v>
      </c>
      <c r="E69" s="250" t="s">
        <v>823</v>
      </c>
      <c r="F69" s="245" t="s">
        <v>600</v>
      </c>
      <c r="G69" s="247">
        <v>551200</v>
      </c>
      <c r="I69" s="231"/>
    </row>
    <row r="70" spans="1:9" ht="12.75">
      <c r="A70" s="244" t="s">
        <v>89</v>
      </c>
      <c r="B70" s="245"/>
      <c r="C70" s="245" t="s">
        <v>548</v>
      </c>
      <c r="D70" s="245" t="s">
        <v>218</v>
      </c>
      <c r="E70" s="250" t="s">
        <v>823</v>
      </c>
      <c r="F70" s="245" t="s">
        <v>90</v>
      </c>
      <c r="G70" s="247">
        <v>20839</v>
      </c>
      <c r="I70" s="231"/>
    </row>
    <row r="71" spans="1:9" ht="25.5">
      <c r="A71" s="246" t="s">
        <v>843</v>
      </c>
      <c r="B71" s="245"/>
      <c r="C71" s="245" t="s">
        <v>548</v>
      </c>
      <c r="D71" s="245" t="s">
        <v>218</v>
      </c>
      <c r="E71" s="250" t="s">
        <v>540</v>
      </c>
      <c r="F71" s="245"/>
      <c r="G71" s="247">
        <v>2098887</v>
      </c>
      <c r="I71" s="231"/>
    </row>
    <row r="72" spans="1:9" ht="15.75" customHeight="1">
      <c r="A72" s="256" t="s">
        <v>93</v>
      </c>
      <c r="B72" s="245"/>
      <c r="C72" s="245" t="s">
        <v>548</v>
      </c>
      <c r="D72" s="245" t="s">
        <v>218</v>
      </c>
      <c r="E72" s="250" t="s">
        <v>540</v>
      </c>
      <c r="F72" s="245">
        <v>300</v>
      </c>
      <c r="G72" s="247">
        <v>5000</v>
      </c>
      <c r="I72" s="231"/>
    </row>
    <row r="73" spans="1:9" ht="12.75">
      <c r="A73" s="244" t="s">
        <v>89</v>
      </c>
      <c r="B73" s="245"/>
      <c r="C73" s="245" t="s">
        <v>548</v>
      </c>
      <c r="D73" s="245" t="s">
        <v>218</v>
      </c>
      <c r="E73" s="250" t="s">
        <v>540</v>
      </c>
      <c r="F73" s="245">
        <v>800</v>
      </c>
      <c r="G73" s="247">
        <v>2093887</v>
      </c>
      <c r="I73" s="231"/>
    </row>
    <row r="74" spans="1:9" ht="25.5">
      <c r="A74" s="246" t="s">
        <v>914</v>
      </c>
      <c r="B74" s="245"/>
      <c r="C74" s="245" t="s">
        <v>548</v>
      </c>
      <c r="D74" s="245" t="s">
        <v>218</v>
      </c>
      <c r="E74" s="250" t="s">
        <v>824</v>
      </c>
      <c r="F74" s="248" t="s">
        <v>99</v>
      </c>
      <c r="G74" s="243">
        <f>G75</f>
        <v>300000</v>
      </c>
      <c r="I74" s="231"/>
    </row>
    <row r="75" spans="1:9" ht="25.5">
      <c r="A75" s="244" t="s">
        <v>482</v>
      </c>
      <c r="B75" s="245"/>
      <c r="C75" s="245" t="s">
        <v>548</v>
      </c>
      <c r="D75" s="245" t="s">
        <v>218</v>
      </c>
      <c r="E75" s="250" t="s">
        <v>824</v>
      </c>
      <c r="F75" s="250">
        <v>200</v>
      </c>
      <c r="G75" s="247">
        <v>300000</v>
      </c>
      <c r="I75" s="231"/>
    </row>
    <row r="76" spans="1:9" ht="63.75">
      <c r="A76" s="32" t="s">
        <v>198</v>
      </c>
      <c r="B76" s="245"/>
      <c r="C76" s="245" t="s">
        <v>548</v>
      </c>
      <c r="D76" s="245" t="s">
        <v>218</v>
      </c>
      <c r="E76" s="250" t="s">
        <v>464</v>
      </c>
      <c r="F76" s="250"/>
      <c r="G76" s="243">
        <f>G77+G78</f>
        <v>148000</v>
      </c>
      <c r="I76" s="231"/>
    </row>
    <row r="77" spans="1:9" ht="63.75">
      <c r="A77" s="244" t="s">
        <v>104</v>
      </c>
      <c r="B77" s="245"/>
      <c r="C77" s="245" t="s">
        <v>548</v>
      </c>
      <c r="D77" s="245" t="s">
        <v>218</v>
      </c>
      <c r="E77" s="250" t="s">
        <v>464</v>
      </c>
      <c r="F77" s="250">
        <v>100</v>
      </c>
      <c r="G77" s="247">
        <v>126900</v>
      </c>
      <c r="I77" s="231"/>
    </row>
    <row r="78" spans="1:9" ht="25.5">
      <c r="A78" s="256" t="s">
        <v>482</v>
      </c>
      <c r="B78" s="257"/>
      <c r="C78" s="257" t="s">
        <v>548</v>
      </c>
      <c r="D78" s="257" t="s">
        <v>218</v>
      </c>
      <c r="E78" s="258" t="s">
        <v>464</v>
      </c>
      <c r="F78" s="258">
        <v>200</v>
      </c>
      <c r="G78" s="261">
        <v>21100</v>
      </c>
      <c r="I78" s="231"/>
    </row>
    <row r="79" spans="1:9" ht="25.5">
      <c r="A79" s="259" t="s">
        <v>714</v>
      </c>
      <c r="B79" s="234"/>
      <c r="C79" s="245" t="s">
        <v>548</v>
      </c>
      <c r="D79" s="245">
        <v>13</v>
      </c>
      <c r="E79" s="245" t="s">
        <v>446</v>
      </c>
      <c r="F79" s="250"/>
      <c r="G79" s="278">
        <v>60000</v>
      </c>
      <c r="I79" s="231"/>
    </row>
    <row r="80" spans="1:9" ht="12.75">
      <c r="A80" s="244" t="s">
        <v>553</v>
      </c>
      <c r="B80" s="234"/>
      <c r="C80" s="245" t="s">
        <v>548</v>
      </c>
      <c r="D80" s="245">
        <v>13</v>
      </c>
      <c r="E80" s="245" t="s">
        <v>447</v>
      </c>
      <c r="F80" s="246" t="s">
        <v>99</v>
      </c>
      <c r="G80" s="278">
        <v>60000</v>
      </c>
      <c r="I80" s="231"/>
    </row>
    <row r="81" spans="1:9" ht="12.75">
      <c r="A81" s="244" t="s">
        <v>289</v>
      </c>
      <c r="B81" s="234"/>
      <c r="C81" s="245" t="s">
        <v>548</v>
      </c>
      <c r="D81" s="245">
        <v>13</v>
      </c>
      <c r="E81" s="245" t="s">
        <v>290</v>
      </c>
      <c r="F81" s="248" t="s">
        <v>99</v>
      </c>
      <c r="G81" s="278">
        <v>60000</v>
      </c>
      <c r="I81" s="231"/>
    </row>
    <row r="82" spans="1:9" ht="13.5" customHeight="1">
      <c r="A82" s="256" t="s">
        <v>93</v>
      </c>
      <c r="B82" s="234"/>
      <c r="C82" s="257" t="s">
        <v>548</v>
      </c>
      <c r="D82" s="257">
        <v>13</v>
      </c>
      <c r="E82" s="257" t="s">
        <v>290</v>
      </c>
      <c r="F82" s="257">
        <v>300</v>
      </c>
      <c r="G82" s="278">
        <v>60000</v>
      </c>
      <c r="I82" s="231"/>
    </row>
    <row r="83" spans="1:9" ht="12.75">
      <c r="A83" s="237" t="s">
        <v>539</v>
      </c>
      <c r="B83" s="238"/>
      <c r="C83" s="238" t="s">
        <v>550</v>
      </c>
      <c r="D83" s="239" t="s">
        <v>912</v>
      </c>
      <c r="E83" s="238" t="s">
        <v>99</v>
      </c>
      <c r="F83" s="238" t="s">
        <v>99</v>
      </c>
      <c r="G83" s="240">
        <f>G84</f>
        <v>72200</v>
      </c>
      <c r="I83" s="231"/>
    </row>
    <row r="84" spans="1:9" ht="12.75">
      <c r="A84" s="241" t="s">
        <v>538</v>
      </c>
      <c r="B84" s="242"/>
      <c r="C84" s="242" t="s">
        <v>550</v>
      </c>
      <c r="D84" s="242" t="s">
        <v>551</v>
      </c>
      <c r="E84" s="260" t="s">
        <v>99</v>
      </c>
      <c r="F84" s="260" t="s">
        <v>99</v>
      </c>
      <c r="G84" s="243">
        <f>G85</f>
        <v>72200</v>
      </c>
      <c r="I84" s="231"/>
    </row>
    <row r="85" spans="1:9" ht="25.5">
      <c r="A85" s="244" t="s">
        <v>537</v>
      </c>
      <c r="B85" s="245"/>
      <c r="C85" s="245" t="s">
        <v>550</v>
      </c>
      <c r="D85" s="245" t="s">
        <v>551</v>
      </c>
      <c r="E85" s="250" t="s">
        <v>536</v>
      </c>
      <c r="F85" s="248" t="s">
        <v>99</v>
      </c>
      <c r="G85" s="243">
        <f>G86</f>
        <v>72200</v>
      </c>
      <c r="I85" s="231"/>
    </row>
    <row r="86" spans="1:9" ht="12.75">
      <c r="A86" s="244" t="s">
        <v>535</v>
      </c>
      <c r="B86" s="245"/>
      <c r="C86" s="245" t="s">
        <v>550</v>
      </c>
      <c r="D86" s="245" t="s">
        <v>551</v>
      </c>
      <c r="E86" s="250" t="s">
        <v>534</v>
      </c>
      <c r="F86" s="248"/>
      <c r="G86" s="243">
        <f>G87</f>
        <v>72200</v>
      </c>
      <c r="I86" s="231"/>
    </row>
    <row r="87" spans="1:9" ht="25.5">
      <c r="A87" s="25" t="s">
        <v>533</v>
      </c>
      <c r="B87" s="245"/>
      <c r="C87" s="245" t="s">
        <v>550</v>
      </c>
      <c r="D87" s="245" t="s">
        <v>551</v>
      </c>
      <c r="E87" s="250" t="s">
        <v>532</v>
      </c>
      <c r="F87" s="255" t="s">
        <v>99</v>
      </c>
      <c r="G87" s="243">
        <f>G88</f>
        <v>72200</v>
      </c>
      <c r="I87" s="231"/>
    </row>
    <row r="88" spans="1:9" ht="25.5">
      <c r="A88" s="256" t="s">
        <v>103</v>
      </c>
      <c r="B88" s="257"/>
      <c r="C88" s="257" t="s">
        <v>550</v>
      </c>
      <c r="D88" s="257" t="s">
        <v>551</v>
      </c>
      <c r="E88" s="258" t="s">
        <v>532</v>
      </c>
      <c r="F88" s="257">
        <v>200</v>
      </c>
      <c r="G88" s="261">
        <v>72200</v>
      </c>
      <c r="I88" s="231"/>
    </row>
    <row r="89" spans="1:9" ht="25.5">
      <c r="A89" s="237" t="s">
        <v>471</v>
      </c>
      <c r="B89" s="238"/>
      <c r="C89" s="238" t="s">
        <v>219</v>
      </c>
      <c r="D89" s="239" t="s">
        <v>912</v>
      </c>
      <c r="E89" s="238" t="s">
        <v>99</v>
      </c>
      <c r="F89" s="238" t="s">
        <v>99</v>
      </c>
      <c r="G89" s="240">
        <f>G90</f>
        <v>2036880.5</v>
      </c>
      <c r="I89" s="231"/>
    </row>
    <row r="90" spans="1:9" ht="38.25">
      <c r="A90" s="241" t="s">
        <v>505</v>
      </c>
      <c r="B90" s="242"/>
      <c r="C90" s="242" t="s">
        <v>219</v>
      </c>
      <c r="D90" s="242" t="s">
        <v>220</v>
      </c>
      <c r="E90" s="242" t="s">
        <v>99</v>
      </c>
      <c r="F90" s="242" t="s">
        <v>99</v>
      </c>
      <c r="G90" s="243">
        <f>G91</f>
        <v>2036880.5</v>
      </c>
      <c r="I90" s="231"/>
    </row>
    <row r="91" spans="1:9" ht="63.75">
      <c r="A91" s="252" t="s">
        <v>57</v>
      </c>
      <c r="B91" s="245"/>
      <c r="C91" s="245" t="s">
        <v>219</v>
      </c>
      <c r="D91" s="245" t="s">
        <v>220</v>
      </c>
      <c r="E91" s="250" t="s">
        <v>825</v>
      </c>
      <c r="F91" s="245" t="s">
        <v>99</v>
      </c>
      <c r="G91" s="243">
        <f>G92+G98</f>
        <v>2036880.5</v>
      </c>
      <c r="I91" s="231"/>
    </row>
    <row r="92" spans="1:9" ht="89.25">
      <c r="A92" s="29" t="s">
        <v>455</v>
      </c>
      <c r="B92" s="245"/>
      <c r="C92" s="245" t="s">
        <v>219</v>
      </c>
      <c r="D92" s="245" t="s">
        <v>220</v>
      </c>
      <c r="E92" s="250" t="s">
        <v>826</v>
      </c>
      <c r="F92" s="245"/>
      <c r="G92" s="243">
        <f>G93</f>
        <v>1996880.5</v>
      </c>
      <c r="I92" s="231"/>
    </row>
    <row r="93" spans="1:9" ht="69" customHeight="1">
      <c r="A93" s="22" t="s">
        <v>429</v>
      </c>
      <c r="B93" s="245"/>
      <c r="C93" s="245" t="s">
        <v>219</v>
      </c>
      <c r="D93" s="245" t="s">
        <v>220</v>
      </c>
      <c r="E93" s="250" t="s">
        <v>831</v>
      </c>
      <c r="F93" s="245"/>
      <c r="G93" s="243">
        <f>G94</f>
        <v>1996880.5</v>
      </c>
      <c r="I93" s="231"/>
    </row>
    <row r="94" spans="1:9" ht="25.5">
      <c r="A94" s="246" t="s">
        <v>126</v>
      </c>
      <c r="B94" s="245"/>
      <c r="C94" s="245" t="s">
        <v>219</v>
      </c>
      <c r="D94" s="245" t="s">
        <v>220</v>
      </c>
      <c r="E94" s="250" t="s">
        <v>832</v>
      </c>
      <c r="F94" s="245" t="s">
        <v>99</v>
      </c>
      <c r="G94" s="243">
        <f>SUM(G95:G97)</f>
        <v>1996880.5</v>
      </c>
      <c r="I94" s="231"/>
    </row>
    <row r="95" spans="1:9" ht="63.75">
      <c r="A95" s="244" t="s">
        <v>104</v>
      </c>
      <c r="B95" s="245"/>
      <c r="C95" s="245" t="s">
        <v>219</v>
      </c>
      <c r="D95" s="245" t="s">
        <v>220</v>
      </c>
      <c r="E95" s="250" t="s">
        <v>832</v>
      </c>
      <c r="F95" s="245" t="s">
        <v>27</v>
      </c>
      <c r="G95" s="247">
        <v>1820650</v>
      </c>
      <c r="I95" s="231"/>
    </row>
    <row r="96" spans="1:9" ht="25.5">
      <c r="A96" s="244" t="s">
        <v>482</v>
      </c>
      <c r="B96" s="245"/>
      <c r="C96" s="245" t="s">
        <v>219</v>
      </c>
      <c r="D96" s="245" t="s">
        <v>220</v>
      </c>
      <c r="E96" s="250" t="s">
        <v>832</v>
      </c>
      <c r="F96" s="245" t="s">
        <v>600</v>
      </c>
      <c r="G96" s="247">
        <v>174965.5</v>
      </c>
      <c r="I96" s="231"/>
    </row>
    <row r="97" spans="1:9" ht="12.75">
      <c r="A97" s="256" t="s">
        <v>89</v>
      </c>
      <c r="B97" s="257"/>
      <c r="C97" s="257" t="s">
        <v>219</v>
      </c>
      <c r="D97" s="257" t="s">
        <v>220</v>
      </c>
      <c r="E97" s="258" t="s">
        <v>832</v>
      </c>
      <c r="F97" s="257" t="s">
        <v>90</v>
      </c>
      <c r="G97" s="261">
        <v>1265</v>
      </c>
      <c r="I97" s="231"/>
    </row>
    <row r="98" spans="1:9" ht="76.5">
      <c r="A98" s="614" t="s">
        <v>200</v>
      </c>
      <c r="B98" s="234"/>
      <c r="C98" s="245" t="s">
        <v>219</v>
      </c>
      <c r="D98" s="245" t="s">
        <v>220</v>
      </c>
      <c r="E98" s="250" t="s">
        <v>201</v>
      </c>
      <c r="F98" s="615"/>
      <c r="G98" s="395">
        <v>40000</v>
      </c>
      <c r="I98" s="231"/>
    </row>
    <row r="99" spans="1:9" ht="51">
      <c r="A99" s="22" t="s">
        <v>202</v>
      </c>
      <c r="B99" s="234"/>
      <c r="C99" s="245" t="s">
        <v>219</v>
      </c>
      <c r="D99" s="245" t="s">
        <v>220</v>
      </c>
      <c r="E99" s="250" t="s">
        <v>203</v>
      </c>
      <c r="F99" s="615"/>
      <c r="G99" s="395">
        <v>40000</v>
      </c>
      <c r="I99" s="231"/>
    </row>
    <row r="100" spans="1:9" ht="38.25">
      <c r="A100" s="617" t="s">
        <v>204</v>
      </c>
      <c r="B100" s="234"/>
      <c r="C100" s="245" t="s">
        <v>219</v>
      </c>
      <c r="D100" s="245" t="s">
        <v>220</v>
      </c>
      <c r="E100" s="250" t="s">
        <v>205</v>
      </c>
      <c r="F100" s="615"/>
      <c r="G100" s="395">
        <v>40000</v>
      </c>
      <c r="I100" s="231"/>
    </row>
    <row r="101" spans="1:9" ht="25.5">
      <c r="A101" s="244" t="s">
        <v>482</v>
      </c>
      <c r="B101" s="234"/>
      <c r="C101" s="245" t="s">
        <v>219</v>
      </c>
      <c r="D101" s="245" t="s">
        <v>220</v>
      </c>
      <c r="E101" s="250" t="s">
        <v>205</v>
      </c>
      <c r="F101" s="234">
        <v>200</v>
      </c>
      <c r="G101" s="278">
        <v>40000</v>
      </c>
      <c r="I101" s="231"/>
    </row>
    <row r="102" spans="1:9" ht="12.75">
      <c r="A102" s="237" t="s">
        <v>506</v>
      </c>
      <c r="B102" s="238"/>
      <c r="C102" s="238" t="s">
        <v>551</v>
      </c>
      <c r="D102" s="239" t="s">
        <v>912</v>
      </c>
      <c r="E102" s="238" t="s">
        <v>99</v>
      </c>
      <c r="F102" s="238" t="s">
        <v>99</v>
      </c>
      <c r="G102" s="240">
        <f>G103+G109+G132</f>
        <v>7816629.960000001</v>
      </c>
      <c r="I102" s="231"/>
    </row>
    <row r="103" spans="1:9" ht="12.75">
      <c r="A103" s="241" t="s">
        <v>507</v>
      </c>
      <c r="B103" s="242"/>
      <c r="C103" s="242" t="s">
        <v>551</v>
      </c>
      <c r="D103" s="242" t="s">
        <v>548</v>
      </c>
      <c r="E103" s="242" t="s">
        <v>99</v>
      </c>
      <c r="F103" s="242" t="s">
        <v>99</v>
      </c>
      <c r="G103" s="243">
        <f>G104</f>
        <v>84154.9</v>
      </c>
      <c r="I103" s="231"/>
    </row>
    <row r="104" spans="1:9" ht="38.25">
      <c r="A104" s="252" t="s">
        <v>449</v>
      </c>
      <c r="B104" s="245"/>
      <c r="C104" s="245" t="s">
        <v>551</v>
      </c>
      <c r="D104" s="245" t="s">
        <v>548</v>
      </c>
      <c r="E104" s="250" t="s">
        <v>827</v>
      </c>
      <c r="F104" s="245" t="s">
        <v>99</v>
      </c>
      <c r="G104" s="243">
        <f>G105</f>
        <v>84154.9</v>
      </c>
      <c r="I104" s="231"/>
    </row>
    <row r="105" spans="1:9" ht="63.75">
      <c r="A105" s="253" t="s">
        <v>18</v>
      </c>
      <c r="B105" s="245"/>
      <c r="C105" s="245" t="s">
        <v>551</v>
      </c>
      <c r="D105" s="245" t="s">
        <v>548</v>
      </c>
      <c r="E105" s="250" t="s">
        <v>828</v>
      </c>
      <c r="F105" s="245"/>
      <c r="G105" s="243">
        <f>G106</f>
        <v>84154.9</v>
      </c>
      <c r="I105" s="231"/>
    </row>
    <row r="106" spans="1:9" ht="51">
      <c r="A106" s="23" t="s">
        <v>531</v>
      </c>
      <c r="B106" s="245"/>
      <c r="C106" s="245" t="s">
        <v>551</v>
      </c>
      <c r="D106" s="245" t="s">
        <v>548</v>
      </c>
      <c r="E106" s="250" t="s">
        <v>829</v>
      </c>
      <c r="F106" s="245"/>
      <c r="G106" s="243">
        <f>G107</f>
        <v>84154.9</v>
      </c>
      <c r="I106" s="231"/>
    </row>
    <row r="107" spans="1:9" ht="25.5">
      <c r="A107" s="244" t="s">
        <v>448</v>
      </c>
      <c r="B107" s="245"/>
      <c r="C107" s="245" t="s">
        <v>551</v>
      </c>
      <c r="D107" s="245" t="s">
        <v>548</v>
      </c>
      <c r="E107" s="250" t="s">
        <v>830</v>
      </c>
      <c r="F107" s="245"/>
      <c r="G107" s="243">
        <f>G108</f>
        <v>84154.9</v>
      </c>
      <c r="I107" s="231"/>
    </row>
    <row r="108" spans="1:9" ht="30.75" customHeight="1">
      <c r="A108" s="244" t="s">
        <v>102</v>
      </c>
      <c r="B108" s="245"/>
      <c r="C108" s="245" t="s">
        <v>551</v>
      </c>
      <c r="D108" s="245" t="s">
        <v>548</v>
      </c>
      <c r="E108" s="250" t="s">
        <v>830</v>
      </c>
      <c r="F108" s="245">
        <v>600</v>
      </c>
      <c r="G108" s="247">
        <v>84154.9</v>
      </c>
      <c r="I108" s="231"/>
    </row>
    <row r="109" spans="1:9" ht="12.75">
      <c r="A109" s="241" t="s">
        <v>98</v>
      </c>
      <c r="B109" s="242"/>
      <c r="C109" s="242" t="s">
        <v>551</v>
      </c>
      <c r="D109" s="242" t="s">
        <v>220</v>
      </c>
      <c r="E109" s="260" t="s">
        <v>99</v>
      </c>
      <c r="F109" s="260" t="s">
        <v>99</v>
      </c>
      <c r="G109" s="243">
        <f>G110</f>
        <v>7412475.0600000005</v>
      </c>
      <c r="I109" s="231"/>
    </row>
    <row r="110" spans="1:9" ht="63.75">
      <c r="A110" s="252" t="s">
        <v>479</v>
      </c>
      <c r="B110" s="245"/>
      <c r="C110" s="245" t="s">
        <v>551</v>
      </c>
      <c r="D110" s="245" t="s">
        <v>220</v>
      </c>
      <c r="E110" s="250" t="s">
        <v>836</v>
      </c>
      <c r="F110" s="248" t="s">
        <v>99</v>
      </c>
      <c r="G110" s="243">
        <f>G111+G122</f>
        <v>7412475.0600000005</v>
      </c>
      <c r="I110" s="231"/>
    </row>
    <row r="111" spans="1:9" ht="89.25">
      <c r="A111" s="15" t="s">
        <v>530</v>
      </c>
      <c r="B111" s="245"/>
      <c r="C111" s="245" t="s">
        <v>551</v>
      </c>
      <c r="D111" s="245" t="s">
        <v>220</v>
      </c>
      <c r="E111" s="254" t="s">
        <v>488</v>
      </c>
      <c r="F111" s="255" t="s">
        <v>99</v>
      </c>
      <c r="G111" s="243">
        <f>G112+G115</f>
        <v>6254882</v>
      </c>
      <c r="I111" s="231"/>
    </row>
    <row r="112" spans="1:9" ht="38.25">
      <c r="A112" s="23" t="s">
        <v>487</v>
      </c>
      <c r="B112" s="245"/>
      <c r="C112" s="245" t="s">
        <v>551</v>
      </c>
      <c r="D112" s="245" t="s">
        <v>220</v>
      </c>
      <c r="E112" s="250" t="s">
        <v>486</v>
      </c>
      <c r="F112" s="255"/>
      <c r="G112" s="243">
        <f>G113</f>
        <v>1488252</v>
      </c>
      <c r="I112" s="231"/>
    </row>
    <row r="113" spans="1:9" ht="38.25">
      <c r="A113" s="26" t="s">
        <v>838</v>
      </c>
      <c r="B113" s="245"/>
      <c r="C113" s="245" t="s">
        <v>551</v>
      </c>
      <c r="D113" s="245" t="s">
        <v>220</v>
      </c>
      <c r="E113" s="250" t="s">
        <v>485</v>
      </c>
      <c r="F113" s="255"/>
      <c r="G113" s="243">
        <f>G114</f>
        <v>1488252</v>
      </c>
      <c r="I113" s="231"/>
    </row>
    <row r="114" spans="1:9" ht="12.75">
      <c r="A114" s="244" t="s">
        <v>89</v>
      </c>
      <c r="B114" s="245"/>
      <c r="C114" s="245" t="s">
        <v>551</v>
      </c>
      <c r="D114" s="245" t="s">
        <v>220</v>
      </c>
      <c r="E114" s="250" t="s">
        <v>485</v>
      </c>
      <c r="F114" s="246">
        <v>800</v>
      </c>
      <c r="G114" s="247">
        <v>1488252</v>
      </c>
      <c r="I114" s="231"/>
    </row>
    <row r="115" spans="1:9" ht="38.25">
      <c r="A115" s="23" t="s">
        <v>484</v>
      </c>
      <c r="B115" s="245"/>
      <c r="C115" s="245" t="s">
        <v>551</v>
      </c>
      <c r="D115" s="245" t="s">
        <v>220</v>
      </c>
      <c r="E115" s="250" t="s">
        <v>420</v>
      </c>
      <c r="F115" s="255"/>
      <c r="G115" s="243">
        <f>G116+G118+G120</f>
        <v>4766630</v>
      </c>
      <c r="I115" s="231"/>
    </row>
    <row r="116" spans="1:9" ht="38.25">
      <c r="A116" s="394" t="s">
        <v>461</v>
      </c>
      <c r="B116" s="245"/>
      <c r="C116" s="245" t="s">
        <v>551</v>
      </c>
      <c r="D116" s="245" t="s">
        <v>220</v>
      </c>
      <c r="E116" s="250" t="s">
        <v>354</v>
      </c>
      <c r="F116" s="255"/>
      <c r="G116" s="243">
        <v>4449640</v>
      </c>
      <c r="I116" s="231"/>
    </row>
    <row r="117" spans="1:9" ht="25.5">
      <c r="A117" s="244" t="s">
        <v>482</v>
      </c>
      <c r="B117" s="245"/>
      <c r="C117" s="245" t="s">
        <v>551</v>
      </c>
      <c r="D117" s="245" t="s">
        <v>220</v>
      </c>
      <c r="E117" s="250" t="s">
        <v>354</v>
      </c>
      <c r="F117" s="397">
        <v>200</v>
      </c>
      <c r="G117" s="243">
        <v>4449640</v>
      </c>
      <c r="I117" s="231"/>
    </row>
    <row r="118" spans="1:9" ht="38.25">
      <c r="A118" s="394" t="s">
        <v>461</v>
      </c>
      <c r="B118" s="245"/>
      <c r="C118" s="245" t="s">
        <v>551</v>
      </c>
      <c r="D118" s="245" t="s">
        <v>220</v>
      </c>
      <c r="E118" s="250" t="s">
        <v>462</v>
      </c>
      <c r="F118" s="255"/>
      <c r="G118" s="243">
        <v>44950</v>
      </c>
      <c r="I118" s="231"/>
    </row>
    <row r="119" spans="1:9" ht="25.5">
      <c r="A119" s="244" t="s">
        <v>482</v>
      </c>
      <c r="B119" s="245"/>
      <c r="C119" s="245" t="s">
        <v>551</v>
      </c>
      <c r="D119" s="245" t="s">
        <v>220</v>
      </c>
      <c r="E119" s="250" t="s">
        <v>462</v>
      </c>
      <c r="F119" s="397">
        <v>200</v>
      </c>
      <c r="G119" s="243">
        <v>44950</v>
      </c>
      <c r="I119" s="231"/>
    </row>
    <row r="120" spans="1:9" ht="38.25">
      <c r="A120" s="25" t="s">
        <v>838</v>
      </c>
      <c r="B120" s="245"/>
      <c r="C120" s="245" t="s">
        <v>551</v>
      </c>
      <c r="D120" s="245" t="s">
        <v>220</v>
      </c>
      <c r="E120" s="250" t="s">
        <v>491</v>
      </c>
      <c r="F120" s="245" t="s">
        <v>99</v>
      </c>
      <c r="G120" s="243">
        <f>G121</f>
        <v>272040</v>
      </c>
      <c r="I120" s="231"/>
    </row>
    <row r="121" spans="1:9" ht="25.5">
      <c r="A121" s="244" t="s">
        <v>482</v>
      </c>
      <c r="B121" s="245"/>
      <c r="C121" s="245" t="s">
        <v>551</v>
      </c>
      <c r="D121" s="245" t="s">
        <v>220</v>
      </c>
      <c r="E121" s="250" t="s">
        <v>491</v>
      </c>
      <c r="F121" s="245">
        <v>200</v>
      </c>
      <c r="G121" s="247">
        <v>272040</v>
      </c>
      <c r="I121" s="231"/>
    </row>
    <row r="122" spans="1:9" ht="89.25">
      <c r="A122" s="29" t="s">
        <v>0</v>
      </c>
      <c r="B122" s="263"/>
      <c r="C122" s="263" t="s">
        <v>551</v>
      </c>
      <c r="D122" s="263" t="s">
        <v>220</v>
      </c>
      <c r="E122" s="264" t="s">
        <v>837</v>
      </c>
      <c r="F122" s="263"/>
      <c r="G122" s="243">
        <f>G123</f>
        <v>1157593.06</v>
      </c>
      <c r="I122" s="231"/>
    </row>
    <row r="123" spans="1:9" ht="63.75">
      <c r="A123" s="23" t="s">
        <v>216</v>
      </c>
      <c r="B123" s="263"/>
      <c r="C123" s="263" t="s">
        <v>551</v>
      </c>
      <c r="D123" s="263" t="s">
        <v>220</v>
      </c>
      <c r="E123" s="265" t="s">
        <v>1</v>
      </c>
      <c r="F123" s="263"/>
      <c r="G123" s="243">
        <f>G124+G126</f>
        <v>1157593.06</v>
      </c>
      <c r="I123" s="231"/>
    </row>
    <row r="124" spans="1:9" ht="25.5">
      <c r="A124" s="26" t="s">
        <v>32</v>
      </c>
      <c r="B124" s="263"/>
      <c r="C124" s="263" t="s">
        <v>551</v>
      </c>
      <c r="D124" s="263" t="s">
        <v>220</v>
      </c>
      <c r="E124" s="265" t="s">
        <v>31</v>
      </c>
      <c r="F124" s="263"/>
      <c r="G124" s="243">
        <f>G125</f>
        <v>934593.06</v>
      </c>
      <c r="I124" s="231"/>
    </row>
    <row r="125" spans="1:9" ht="12.75">
      <c r="A125" s="259" t="s">
        <v>89</v>
      </c>
      <c r="B125" s="263"/>
      <c r="C125" s="263" t="s">
        <v>551</v>
      </c>
      <c r="D125" s="263" t="s">
        <v>220</v>
      </c>
      <c r="E125" s="265" t="s">
        <v>31</v>
      </c>
      <c r="F125" s="263">
        <v>800</v>
      </c>
      <c r="G125" s="243">
        <v>934593.06</v>
      </c>
      <c r="I125" s="231"/>
    </row>
    <row r="126" spans="1:9" ht="25.5">
      <c r="A126" s="244" t="s">
        <v>582</v>
      </c>
      <c r="B126" s="266"/>
      <c r="C126" s="263" t="s">
        <v>551</v>
      </c>
      <c r="D126" s="263" t="s">
        <v>220</v>
      </c>
      <c r="E126" s="265" t="s">
        <v>581</v>
      </c>
      <c r="F126" s="263"/>
      <c r="G126" s="243">
        <v>223000</v>
      </c>
      <c r="I126" s="231"/>
    </row>
    <row r="127" spans="1:9" ht="12.75">
      <c r="A127" s="259" t="s">
        <v>89</v>
      </c>
      <c r="B127" s="266"/>
      <c r="C127" s="263" t="s">
        <v>551</v>
      </c>
      <c r="D127" s="263" t="s">
        <v>220</v>
      </c>
      <c r="E127" s="265" t="s">
        <v>581</v>
      </c>
      <c r="F127" s="263">
        <v>200</v>
      </c>
      <c r="G127" s="247">
        <v>223000</v>
      </c>
      <c r="I127" s="231"/>
    </row>
    <row r="128" spans="1:9" ht="12" customHeight="1">
      <c r="A128" s="262" t="s">
        <v>173</v>
      </c>
      <c r="B128" s="266"/>
      <c r="C128" s="267" t="s">
        <v>551</v>
      </c>
      <c r="D128" s="267">
        <v>12</v>
      </c>
      <c r="E128" s="264"/>
      <c r="F128" s="267"/>
      <c r="G128" s="268">
        <v>320000</v>
      </c>
      <c r="I128" s="231"/>
    </row>
    <row r="129" spans="1:9" ht="25.5">
      <c r="A129" s="252" t="s">
        <v>391</v>
      </c>
      <c r="B129" s="266"/>
      <c r="C129" s="263" t="s">
        <v>551</v>
      </c>
      <c r="D129" s="263">
        <v>12</v>
      </c>
      <c r="E129" s="250" t="s">
        <v>820</v>
      </c>
      <c r="F129" s="263"/>
      <c r="G129" s="268">
        <v>320000</v>
      </c>
      <c r="I129" s="231"/>
    </row>
    <row r="130" spans="1:9" ht="25.5">
      <c r="A130" s="253" t="s">
        <v>392</v>
      </c>
      <c r="B130" s="266"/>
      <c r="C130" s="263" t="s">
        <v>551</v>
      </c>
      <c r="D130" s="263">
        <v>12</v>
      </c>
      <c r="E130" s="254" t="s">
        <v>822</v>
      </c>
      <c r="F130" s="263"/>
      <c r="G130" s="268">
        <v>320000</v>
      </c>
      <c r="I130" s="231"/>
    </row>
    <row r="131" spans="1:9" ht="38.25">
      <c r="A131" s="244" t="s">
        <v>396</v>
      </c>
      <c r="B131" s="266"/>
      <c r="C131" s="263" t="s">
        <v>551</v>
      </c>
      <c r="D131" s="263">
        <v>12</v>
      </c>
      <c r="E131" s="250" t="s">
        <v>395</v>
      </c>
      <c r="F131" s="263"/>
      <c r="G131" s="268">
        <v>320000</v>
      </c>
      <c r="I131" s="231"/>
    </row>
    <row r="132" spans="1:9" ht="25.5">
      <c r="A132" s="256" t="s">
        <v>482</v>
      </c>
      <c r="B132" s="266"/>
      <c r="C132" s="269" t="s">
        <v>551</v>
      </c>
      <c r="D132" s="269">
        <v>12</v>
      </c>
      <c r="E132" s="258" t="s">
        <v>395</v>
      </c>
      <c r="F132" s="269">
        <v>200</v>
      </c>
      <c r="G132" s="268">
        <v>320000</v>
      </c>
      <c r="I132" s="231"/>
    </row>
    <row r="133" spans="1:9" ht="12.75">
      <c r="A133" s="237" t="s">
        <v>143</v>
      </c>
      <c r="B133" s="238"/>
      <c r="C133" s="238" t="s">
        <v>767</v>
      </c>
      <c r="D133" s="239" t="s">
        <v>912</v>
      </c>
      <c r="E133" s="238" t="s">
        <v>99</v>
      </c>
      <c r="F133" s="238" t="s">
        <v>99</v>
      </c>
      <c r="G133" s="240">
        <f>G134+G140+G146</f>
        <v>27488825.9</v>
      </c>
      <c r="I133" s="231"/>
    </row>
    <row r="134" spans="1:9" ht="12.75">
      <c r="A134" s="241" t="s">
        <v>490</v>
      </c>
      <c r="B134" s="242"/>
      <c r="C134" s="242" t="s">
        <v>767</v>
      </c>
      <c r="D134" s="270" t="s">
        <v>548</v>
      </c>
      <c r="E134" s="271"/>
      <c r="F134" s="271"/>
      <c r="G134" s="243">
        <f>G135</f>
        <v>853069</v>
      </c>
      <c r="I134" s="231"/>
    </row>
    <row r="135" spans="1:9" ht="63.75">
      <c r="A135" s="252" t="s">
        <v>480</v>
      </c>
      <c r="B135" s="245"/>
      <c r="C135" s="245" t="s">
        <v>767</v>
      </c>
      <c r="D135" s="272" t="s">
        <v>548</v>
      </c>
      <c r="E135" s="250" t="s">
        <v>839</v>
      </c>
      <c r="F135" s="271"/>
      <c r="G135" s="243">
        <f>G136</f>
        <v>853069</v>
      </c>
      <c r="I135" s="231"/>
    </row>
    <row r="136" spans="1:9" ht="89.25">
      <c r="A136" s="253" t="s">
        <v>481</v>
      </c>
      <c r="B136" s="245"/>
      <c r="C136" s="245" t="s">
        <v>767</v>
      </c>
      <c r="D136" s="272" t="s">
        <v>548</v>
      </c>
      <c r="E136" s="254" t="s">
        <v>563</v>
      </c>
      <c r="F136" s="271"/>
      <c r="G136" s="243">
        <f>G137</f>
        <v>853069</v>
      </c>
      <c r="I136" s="231"/>
    </row>
    <row r="137" spans="1:9" ht="38.25">
      <c r="A137" s="31" t="s">
        <v>489</v>
      </c>
      <c r="B137" s="245"/>
      <c r="C137" s="245" t="s">
        <v>767</v>
      </c>
      <c r="D137" s="272" t="s">
        <v>548</v>
      </c>
      <c r="E137" s="250" t="s">
        <v>53</v>
      </c>
      <c r="F137" s="271"/>
      <c r="G137" s="243">
        <f>G138</f>
        <v>853069</v>
      </c>
      <c r="I137" s="231"/>
    </row>
    <row r="138" spans="1:9" ht="24">
      <c r="A138" s="28" t="s">
        <v>52</v>
      </c>
      <c r="B138" s="245"/>
      <c r="C138" s="245" t="s">
        <v>767</v>
      </c>
      <c r="D138" s="272" t="s">
        <v>548</v>
      </c>
      <c r="E138" s="250" t="s">
        <v>51</v>
      </c>
      <c r="F138" s="271"/>
      <c r="G138" s="243">
        <f>SUM(G139:G139)</f>
        <v>853069</v>
      </c>
      <c r="I138" s="231"/>
    </row>
    <row r="139" spans="1:9" ht="25.5">
      <c r="A139" s="244" t="s">
        <v>482</v>
      </c>
      <c r="B139" s="245"/>
      <c r="C139" s="245" t="s">
        <v>767</v>
      </c>
      <c r="D139" s="272" t="s">
        <v>548</v>
      </c>
      <c r="E139" s="250" t="s">
        <v>51</v>
      </c>
      <c r="F139" s="245">
        <v>200</v>
      </c>
      <c r="G139" s="247">
        <v>853069</v>
      </c>
      <c r="I139" s="231"/>
    </row>
    <row r="140" spans="1:9" ht="12.75">
      <c r="A140" s="253" t="s">
        <v>465</v>
      </c>
      <c r="B140" s="242"/>
      <c r="C140" s="242" t="s">
        <v>767</v>
      </c>
      <c r="D140" s="270" t="s">
        <v>550</v>
      </c>
      <c r="E140" s="271"/>
      <c r="F140" s="271"/>
      <c r="G140" s="243">
        <f>G141</f>
        <v>1223765</v>
      </c>
      <c r="I140" s="231"/>
    </row>
    <row r="141" spans="1:9" ht="50.25" customHeight="1">
      <c r="A141" s="252" t="s">
        <v>480</v>
      </c>
      <c r="B141" s="245"/>
      <c r="C141" s="245" t="s">
        <v>767</v>
      </c>
      <c r="D141" s="272" t="s">
        <v>550</v>
      </c>
      <c r="E141" s="250" t="s">
        <v>839</v>
      </c>
      <c r="F141" s="271"/>
      <c r="G141" s="243">
        <f>G142</f>
        <v>1223765</v>
      </c>
      <c r="I141" s="231"/>
    </row>
    <row r="142" spans="1:9" ht="89.25">
      <c r="A142" s="253" t="s">
        <v>481</v>
      </c>
      <c r="B142" s="245"/>
      <c r="C142" s="245" t="s">
        <v>767</v>
      </c>
      <c r="D142" s="272" t="s">
        <v>550</v>
      </c>
      <c r="E142" s="254" t="s">
        <v>563</v>
      </c>
      <c r="F142" s="271"/>
      <c r="G142" s="243">
        <f>G143</f>
        <v>1223765</v>
      </c>
      <c r="I142" s="231"/>
    </row>
    <row r="143" spans="1:9" ht="25.5">
      <c r="A143" s="22" t="s">
        <v>520</v>
      </c>
      <c r="B143" s="245"/>
      <c r="C143" s="245" t="s">
        <v>767</v>
      </c>
      <c r="D143" s="272" t="s">
        <v>550</v>
      </c>
      <c r="E143" s="250" t="s">
        <v>529</v>
      </c>
      <c r="F143" s="271"/>
      <c r="G143" s="243">
        <f>G144</f>
        <v>1223765</v>
      </c>
      <c r="I143" s="231"/>
    </row>
    <row r="144" spans="1:9" ht="12.75">
      <c r="A144" s="244" t="s">
        <v>466</v>
      </c>
      <c r="B144" s="245"/>
      <c r="C144" s="245" t="s">
        <v>767</v>
      </c>
      <c r="D144" s="272" t="s">
        <v>550</v>
      </c>
      <c r="E144" s="250" t="s">
        <v>528</v>
      </c>
      <c r="F144" s="271"/>
      <c r="G144" s="243">
        <f>G145</f>
        <v>1223765</v>
      </c>
      <c r="I144" s="231"/>
    </row>
    <row r="145" spans="1:9" ht="25.5">
      <c r="A145" s="244" t="s">
        <v>482</v>
      </c>
      <c r="B145" s="245"/>
      <c r="C145" s="245" t="s">
        <v>767</v>
      </c>
      <c r="D145" s="272" t="s">
        <v>550</v>
      </c>
      <c r="E145" s="250" t="s">
        <v>528</v>
      </c>
      <c r="F145" s="245">
        <v>200</v>
      </c>
      <c r="G145" s="247">
        <f>1164000+59765</f>
        <v>1223765</v>
      </c>
      <c r="I145" s="231"/>
    </row>
    <row r="146" spans="1:9" ht="12.75">
      <c r="A146" s="241" t="s">
        <v>567</v>
      </c>
      <c r="B146" s="242"/>
      <c r="C146" s="242" t="s">
        <v>767</v>
      </c>
      <c r="D146" s="242" t="s">
        <v>219</v>
      </c>
      <c r="E146" s="242" t="s">
        <v>99</v>
      </c>
      <c r="F146" s="242" t="s">
        <v>99</v>
      </c>
      <c r="G146" s="243">
        <f>G147+G158</f>
        <v>25411991.9</v>
      </c>
      <c r="I146" s="231"/>
    </row>
    <row r="147" spans="1:9" ht="51.75" customHeight="1">
      <c r="A147" s="252" t="s">
        <v>480</v>
      </c>
      <c r="B147" s="245"/>
      <c r="C147" s="245" t="s">
        <v>767</v>
      </c>
      <c r="D147" s="245" t="s">
        <v>219</v>
      </c>
      <c r="E147" s="250" t="s">
        <v>839</v>
      </c>
      <c r="F147" s="245" t="s">
        <v>99</v>
      </c>
      <c r="G147" s="243">
        <f>G148</f>
        <v>15799878.9</v>
      </c>
      <c r="I147" s="231"/>
    </row>
    <row r="148" spans="1:9" ht="89.25">
      <c r="A148" s="253" t="s">
        <v>481</v>
      </c>
      <c r="B148" s="245"/>
      <c r="C148" s="245" t="s">
        <v>767</v>
      </c>
      <c r="D148" s="245" t="s">
        <v>219</v>
      </c>
      <c r="E148" s="254" t="s">
        <v>563</v>
      </c>
      <c r="F148" s="246" t="s">
        <v>99</v>
      </c>
      <c r="G148" s="243">
        <f>G149+G153</f>
        <v>15799878.9</v>
      </c>
      <c r="I148" s="231"/>
    </row>
    <row r="149" spans="1:9" ht="25.5">
      <c r="A149" s="31" t="s">
        <v>527</v>
      </c>
      <c r="B149" s="245"/>
      <c r="C149" s="245" t="s">
        <v>767</v>
      </c>
      <c r="D149" s="245" t="s">
        <v>219</v>
      </c>
      <c r="E149" s="250" t="s">
        <v>904</v>
      </c>
      <c r="F149" s="246"/>
      <c r="G149" s="243">
        <f>G150</f>
        <v>10799878.9</v>
      </c>
      <c r="I149" s="231"/>
    </row>
    <row r="150" spans="1:9" ht="12.75">
      <c r="A150" s="26" t="s">
        <v>515</v>
      </c>
      <c r="B150" s="245"/>
      <c r="C150" s="245" t="s">
        <v>767</v>
      </c>
      <c r="D150" s="245" t="s">
        <v>219</v>
      </c>
      <c r="E150" s="250" t="s">
        <v>905</v>
      </c>
      <c r="F150" s="245" t="s">
        <v>99</v>
      </c>
      <c r="G150" s="243">
        <f>SUM(G151:G152)</f>
        <v>10799878.9</v>
      </c>
      <c r="I150" s="231"/>
    </row>
    <row r="151" spans="1:9" ht="25.5">
      <c r="A151" s="244" t="s">
        <v>482</v>
      </c>
      <c r="B151" s="245"/>
      <c r="C151" s="245" t="s">
        <v>767</v>
      </c>
      <c r="D151" s="245" t="s">
        <v>219</v>
      </c>
      <c r="E151" s="250" t="s">
        <v>905</v>
      </c>
      <c r="F151" s="245">
        <v>200</v>
      </c>
      <c r="G151" s="247">
        <v>2028932.9</v>
      </c>
      <c r="I151" s="231"/>
    </row>
    <row r="152" spans="1:9" ht="12.75">
      <c r="A152" s="244" t="s">
        <v>89</v>
      </c>
      <c r="B152" s="245"/>
      <c r="C152" s="245" t="s">
        <v>767</v>
      </c>
      <c r="D152" s="245" t="s">
        <v>219</v>
      </c>
      <c r="E152" s="250" t="s">
        <v>905</v>
      </c>
      <c r="F152" s="245">
        <v>800</v>
      </c>
      <c r="G152" s="247">
        <v>8770946</v>
      </c>
      <c r="I152" s="231"/>
    </row>
    <row r="153" spans="1:9" ht="38.25">
      <c r="A153" s="31" t="s">
        <v>356</v>
      </c>
      <c r="B153" s="245"/>
      <c r="C153" s="245" t="s">
        <v>767</v>
      </c>
      <c r="D153" s="245" t="s">
        <v>219</v>
      </c>
      <c r="E153" s="250" t="s">
        <v>357</v>
      </c>
      <c r="F153" s="245"/>
      <c r="G153" s="247">
        <v>5000000</v>
      </c>
      <c r="I153" s="231"/>
    </row>
    <row r="154" spans="1:9" ht="12.75">
      <c r="A154" s="204" t="s">
        <v>358</v>
      </c>
      <c r="B154" s="245"/>
      <c r="C154" s="245" t="s">
        <v>767</v>
      </c>
      <c r="D154" s="245" t="s">
        <v>219</v>
      </c>
      <c r="E154" s="250" t="s">
        <v>359</v>
      </c>
      <c r="F154" s="245"/>
      <c r="G154" s="247">
        <v>4950000</v>
      </c>
      <c r="I154" s="231"/>
    </row>
    <row r="155" spans="1:9" ht="25.5">
      <c r="A155" s="244" t="s">
        <v>482</v>
      </c>
      <c r="B155" s="245"/>
      <c r="C155" s="245" t="s">
        <v>767</v>
      </c>
      <c r="D155" s="245" t="s">
        <v>219</v>
      </c>
      <c r="E155" s="250" t="s">
        <v>359</v>
      </c>
      <c r="F155" s="245">
        <v>200</v>
      </c>
      <c r="G155" s="247">
        <v>4950000</v>
      </c>
      <c r="I155" s="231"/>
    </row>
    <row r="156" spans="1:9" ht="25.5">
      <c r="A156" s="201" t="s">
        <v>360</v>
      </c>
      <c r="B156" s="245"/>
      <c r="C156" s="245" t="s">
        <v>767</v>
      </c>
      <c r="D156" s="245" t="s">
        <v>219</v>
      </c>
      <c r="E156" s="250" t="s">
        <v>361</v>
      </c>
      <c r="F156" s="245"/>
      <c r="G156" s="247">
        <v>50000</v>
      </c>
      <c r="I156" s="231"/>
    </row>
    <row r="157" spans="1:9" ht="25.5">
      <c r="A157" s="244" t="s">
        <v>482</v>
      </c>
      <c r="B157" s="245"/>
      <c r="C157" s="245" t="s">
        <v>767</v>
      </c>
      <c r="D157" s="245" t="s">
        <v>219</v>
      </c>
      <c r="E157" s="250" t="s">
        <v>361</v>
      </c>
      <c r="F157" s="245">
        <v>200</v>
      </c>
      <c r="G157" s="247">
        <v>50000</v>
      </c>
      <c r="I157" s="231"/>
    </row>
    <row r="158" spans="1:9" ht="51">
      <c r="A158" s="252" t="s">
        <v>475</v>
      </c>
      <c r="B158" s="245"/>
      <c r="C158" s="245" t="s">
        <v>767</v>
      </c>
      <c r="D158" s="245" t="s">
        <v>219</v>
      </c>
      <c r="E158" s="250" t="s">
        <v>397</v>
      </c>
      <c r="F158" s="245"/>
      <c r="G158" s="243">
        <f>G161</f>
        <v>9612113</v>
      </c>
      <c r="I158" s="231"/>
    </row>
    <row r="159" spans="1:9" ht="25.5">
      <c r="A159" s="31" t="s">
        <v>690</v>
      </c>
      <c r="B159" s="245"/>
      <c r="C159" s="245" t="s">
        <v>767</v>
      </c>
      <c r="D159" s="245" t="s">
        <v>219</v>
      </c>
      <c r="E159" s="250" t="s">
        <v>689</v>
      </c>
      <c r="F159" s="245"/>
      <c r="G159" s="243">
        <f>G160</f>
        <v>9612113</v>
      </c>
      <c r="I159" s="231"/>
    </row>
    <row r="160" spans="1:9" ht="25.5">
      <c r="A160" s="405" t="s">
        <v>692</v>
      </c>
      <c r="B160" s="245"/>
      <c r="C160" s="245" t="s">
        <v>767</v>
      </c>
      <c r="D160" s="245" t="s">
        <v>219</v>
      </c>
      <c r="E160" s="250" t="s">
        <v>691</v>
      </c>
      <c r="F160" s="245"/>
      <c r="G160" s="243">
        <f>G161</f>
        <v>9612113</v>
      </c>
      <c r="I160" s="231"/>
    </row>
    <row r="161" spans="1:9" ht="25.5">
      <c r="A161" s="244" t="s">
        <v>482</v>
      </c>
      <c r="B161" s="245"/>
      <c r="C161" s="245" t="s">
        <v>767</v>
      </c>
      <c r="D161" s="245" t="s">
        <v>219</v>
      </c>
      <c r="E161" s="250" t="s">
        <v>691</v>
      </c>
      <c r="F161" s="245">
        <v>200</v>
      </c>
      <c r="G161" s="247">
        <v>9612113</v>
      </c>
      <c r="I161" s="231"/>
    </row>
    <row r="162" spans="1:9" ht="12.75">
      <c r="A162" s="619" t="s">
        <v>369</v>
      </c>
      <c r="B162" s="297"/>
      <c r="C162" s="272" t="s">
        <v>552</v>
      </c>
      <c r="D162" s="297"/>
      <c r="E162" s="298"/>
      <c r="F162" s="297"/>
      <c r="G162" s="268">
        <v>614168.1</v>
      </c>
      <c r="I162" s="231"/>
    </row>
    <row r="163" spans="1:9" ht="25.5">
      <c r="A163" s="392" t="s">
        <v>370</v>
      </c>
      <c r="B163" s="297"/>
      <c r="C163" s="393" t="s">
        <v>552</v>
      </c>
      <c r="D163" s="393" t="s">
        <v>767</v>
      </c>
      <c r="E163" s="298"/>
      <c r="F163" s="297"/>
      <c r="G163" s="268">
        <v>614168.1</v>
      </c>
      <c r="I163" s="231"/>
    </row>
    <row r="164" spans="1:9" ht="49.5" customHeight="1">
      <c r="A164" s="252" t="s">
        <v>480</v>
      </c>
      <c r="B164" s="297"/>
      <c r="C164" s="393" t="s">
        <v>552</v>
      </c>
      <c r="D164" s="393" t="s">
        <v>767</v>
      </c>
      <c r="E164" s="250" t="s">
        <v>839</v>
      </c>
      <c r="F164" s="297"/>
      <c r="G164" s="268">
        <v>614168.1</v>
      </c>
      <c r="I164" s="231"/>
    </row>
    <row r="165" spans="1:9" ht="38.25">
      <c r="A165" s="253" t="s">
        <v>374</v>
      </c>
      <c r="B165" s="297"/>
      <c r="C165" s="393" t="s">
        <v>552</v>
      </c>
      <c r="D165" s="393" t="s">
        <v>767</v>
      </c>
      <c r="E165" s="254" t="s">
        <v>371</v>
      </c>
      <c r="F165" s="297"/>
      <c r="G165" s="268">
        <v>614168.1</v>
      </c>
      <c r="I165" s="231"/>
    </row>
    <row r="166" spans="1:9" ht="25.5">
      <c r="A166" s="31" t="s">
        <v>372</v>
      </c>
      <c r="B166" s="297"/>
      <c r="C166" s="393" t="s">
        <v>552</v>
      </c>
      <c r="D166" s="393" t="s">
        <v>767</v>
      </c>
      <c r="E166" s="250" t="s">
        <v>373</v>
      </c>
      <c r="F166" s="297"/>
      <c r="G166" s="268">
        <v>614168.1</v>
      </c>
      <c r="I166" s="231"/>
    </row>
    <row r="167" spans="1:9" ht="25.5">
      <c r="A167" s="244" t="s">
        <v>482</v>
      </c>
      <c r="B167" s="297"/>
      <c r="C167" s="393" t="s">
        <v>552</v>
      </c>
      <c r="D167" s="393" t="s">
        <v>767</v>
      </c>
      <c r="E167" s="250" t="s">
        <v>373</v>
      </c>
      <c r="F167" s="297">
        <v>200</v>
      </c>
      <c r="G167" s="268">
        <v>614168.1</v>
      </c>
      <c r="I167" s="231"/>
    </row>
    <row r="168" spans="1:9" ht="12.75">
      <c r="A168" s="237" t="s">
        <v>568</v>
      </c>
      <c r="B168" s="238"/>
      <c r="C168" s="238" t="s">
        <v>768</v>
      </c>
      <c r="D168" s="239" t="s">
        <v>912</v>
      </c>
      <c r="E168" s="238" t="s">
        <v>99</v>
      </c>
      <c r="F168" s="238" t="s">
        <v>99</v>
      </c>
      <c r="G168" s="273">
        <f>G169+G187+G204+G212+G227</f>
        <v>237824494.04000002</v>
      </c>
      <c r="I168" s="231"/>
    </row>
    <row r="169" spans="1:9" ht="12.75">
      <c r="A169" s="241" t="s">
        <v>569</v>
      </c>
      <c r="B169" s="242"/>
      <c r="C169" s="242" t="s">
        <v>768</v>
      </c>
      <c r="D169" s="242" t="s">
        <v>548</v>
      </c>
      <c r="E169" s="242" t="s">
        <v>99</v>
      </c>
      <c r="F169" s="242" t="s">
        <v>99</v>
      </c>
      <c r="G169" s="274">
        <f>G170</f>
        <v>93051750.48</v>
      </c>
      <c r="I169" s="231"/>
    </row>
    <row r="170" spans="1:9" ht="38.25">
      <c r="A170" s="252" t="s">
        <v>60</v>
      </c>
      <c r="B170" s="245"/>
      <c r="C170" s="245" t="s">
        <v>768</v>
      </c>
      <c r="D170" s="245" t="s">
        <v>548</v>
      </c>
      <c r="E170" s="250" t="s">
        <v>564</v>
      </c>
      <c r="F170" s="245" t="s">
        <v>99</v>
      </c>
      <c r="G170" s="243">
        <f>G171</f>
        <v>93051750.48</v>
      </c>
      <c r="I170" s="231"/>
    </row>
    <row r="171" spans="1:9" ht="51">
      <c r="A171" s="253" t="s">
        <v>59</v>
      </c>
      <c r="B171" s="245"/>
      <c r="C171" s="245" t="s">
        <v>768</v>
      </c>
      <c r="D171" s="245" t="s">
        <v>548</v>
      </c>
      <c r="E171" s="254" t="s">
        <v>565</v>
      </c>
      <c r="F171" s="246" t="s">
        <v>99</v>
      </c>
      <c r="G171" s="243">
        <f>G172+G180</f>
        <v>93051750.48</v>
      </c>
      <c r="I171" s="231"/>
    </row>
    <row r="172" spans="1:9" ht="25.5">
      <c r="A172" s="22" t="s">
        <v>906</v>
      </c>
      <c r="B172" s="245"/>
      <c r="C172" s="245" t="s">
        <v>768</v>
      </c>
      <c r="D172" s="245" t="s">
        <v>548</v>
      </c>
      <c r="E172" s="250" t="s">
        <v>566</v>
      </c>
      <c r="F172" s="246"/>
      <c r="G172" s="243">
        <f>G173+G176</f>
        <v>89045419.48</v>
      </c>
      <c r="I172" s="231"/>
    </row>
    <row r="173" spans="1:9" ht="93.75" customHeight="1">
      <c r="A173" s="16" t="s">
        <v>630</v>
      </c>
      <c r="B173" s="245"/>
      <c r="C173" s="245" t="s">
        <v>768</v>
      </c>
      <c r="D173" s="245" t="s">
        <v>548</v>
      </c>
      <c r="E173" s="250" t="s">
        <v>631</v>
      </c>
      <c r="F173" s="245" t="s">
        <v>99</v>
      </c>
      <c r="G173" s="243">
        <f>SUM(G174:G175)</f>
        <v>48099805</v>
      </c>
      <c r="I173" s="231"/>
    </row>
    <row r="174" spans="1:9" ht="63.75">
      <c r="A174" s="244" t="s">
        <v>104</v>
      </c>
      <c r="B174" s="245"/>
      <c r="C174" s="245" t="s">
        <v>768</v>
      </c>
      <c r="D174" s="245" t="s">
        <v>548</v>
      </c>
      <c r="E174" s="250" t="s">
        <v>631</v>
      </c>
      <c r="F174" s="245" t="s">
        <v>27</v>
      </c>
      <c r="G174" s="247">
        <v>47613825</v>
      </c>
      <c r="I174" s="231"/>
    </row>
    <row r="175" spans="1:9" ht="25.5">
      <c r="A175" s="244" t="s">
        <v>482</v>
      </c>
      <c r="B175" s="245"/>
      <c r="C175" s="245" t="s">
        <v>768</v>
      </c>
      <c r="D175" s="245" t="s">
        <v>548</v>
      </c>
      <c r="E175" s="250" t="s">
        <v>631</v>
      </c>
      <c r="F175" s="245" t="s">
        <v>600</v>
      </c>
      <c r="G175" s="247">
        <v>485980</v>
      </c>
      <c r="I175" s="231"/>
    </row>
    <row r="176" spans="1:9" ht="25.5">
      <c r="A176" s="246" t="s">
        <v>126</v>
      </c>
      <c r="B176" s="245"/>
      <c r="C176" s="245" t="s">
        <v>768</v>
      </c>
      <c r="D176" s="245" t="s">
        <v>548</v>
      </c>
      <c r="E176" s="250" t="s">
        <v>632</v>
      </c>
      <c r="F176" s="245"/>
      <c r="G176" s="243">
        <f>SUM(G177:G179)</f>
        <v>40945614.480000004</v>
      </c>
      <c r="I176" s="231"/>
    </row>
    <row r="177" spans="1:9" ht="63.75">
      <c r="A177" s="244" t="s">
        <v>104</v>
      </c>
      <c r="B177" s="245"/>
      <c r="C177" s="245" t="s">
        <v>768</v>
      </c>
      <c r="D177" s="245" t="s">
        <v>548</v>
      </c>
      <c r="E177" s="250" t="s">
        <v>632</v>
      </c>
      <c r="F177" s="245">
        <v>100</v>
      </c>
      <c r="G177" s="247">
        <v>14715324</v>
      </c>
      <c r="I177" s="231"/>
    </row>
    <row r="178" spans="1:9" ht="25.5">
      <c r="A178" s="244" t="s">
        <v>482</v>
      </c>
      <c r="B178" s="245"/>
      <c r="C178" s="245" t="s">
        <v>768</v>
      </c>
      <c r="D178" s="245" t="s">
        <v>548</v>
      </c>
      <c r="E178" s="250" t="s">
        <v>632</v>
      </c>
      <c r="F178" s="245">
        <v>200</v>
      </c>
      <c r="G178" s="247">
        <v>23913890.48</v>
      </c>
      <c r="I178" s="231"/>
    </row>
    <row r="179" spans="1:9" ht="12.75">
      <c r="A179" s="244" t="s">
        <v>89</v>
      </c>
      <c r="B179" s="245"/>
      <c r="C179" s="245" t="s">
        <v>768</v>
      </c>
      <c r="D179" s="245" t="s">
        <v>548</v>
      </c>
      <c r="E179" s="250" t="s">
        <v>632</v>
      </c>
      <c r="F179" s="245">
        <v>800</v>
      </c>
      <c r="G179" s="247">
        <v>2316400</v>
      </c>
      <c r="I179" s="231"/>
    </row>
    <row r="180" spans="1:9" ht="25.5">
      <c r="A180" s="31" t="s">
        <v>419</v>
      </c>
      <c r="B180" s="263"/>
      <c r="C180" s="263" t="s">
        <v>768</v>
      </c>
      <c r="D180" s="263" t="s">
        <v>548</v>
      </c>
      <c r="E180" s="265" t="s">
        <v>141</v>
      </c>
      <c r="F180" s="245"/>
      <c r="G180" s="243">
        <f>G181+G183+G185</f>
        <v>4006331</v>
      </c>
      <c r="I180" s="231"/>
    </row>
    <row r="181" spans="1:9" ht="25.5">
      <c r="A181" s="406" t="s">
        <v>875</v>
      </c>
      <c r="B181" s="263"/>
      <c r="C181" s="263" t="s">
        <v>768</v>
      </c>
      <c r="D181" s="263" t="s">
        <v>548</v>
      </c>
      <c r="E181" s="250" t="s">
        <v>468</v>
      </c>
      <c r="F181" s="245"/>
      <c r="G181" s="243">
        <v>2190481</v>
      </c>
      <c r="I181" s="231"/>
    </row>
    <row r="182" spans="1:9" ht="25.5">
      <c r="A182" s="244" t="s">
        <v>482</v>
      </c>
      <c r="B182" s="263"/>
      <c r="C182" s="263" t="s">
        <v>768</v>
      </c>
      <c r="D182" s="263" t="s">
        <v>548</v>
      </c>
      <c r="E182" s="250" t="s">
        <v>468</v>
      </c>
      <c r="F182" s="245">
        <v>200</v>
      </c>
      <c r="G182" s="243">
        <v>2190481</v>
      </c>
      <c r="I182" s="231"/>
    </row>
    <row r="183" spans="1:9" ht="25.5">
      <c r="A183" s="394" t="s">
        <v>294</v>
      </c>
      <c r="B183" s="245"/>
      <c r="C183" s="245" t="s">
        <v>768</v>
      </c>
      <c r="D183" s="245" t="s">
        <v>548</v>
      </c>
      <c r="E183" s="250" t="s">
        <v>293</v>
      </c>
      <c r="F183" s="245"/>
      <c r="G183" s="243">
        <v>1180303</v>
      </c>
      <c r="I183" s="231"/>
    </row>
    <row r="184" spans="1:9" ht="25.5">
      <c r="A184" s="244" t="s">
        <v>482</v>
      </c>
      <c r="B184" s="245"/>
      <c r="C184" s="245" t="s">
        <v>768</v>
      </c>
      <c r="D184" s="245" t="s">
        <v>548</v>
      </c>
      <c r="E184" s="250" t="s">
        <v>293</v>
      </c>
      <c r="F184" s="245">
        <v>200</v>
      </c>
      <c r="G184" s="243">
        <v>1180303</v>
      </c>
      <c r="I184" s="231"/>
    </row>
    <row r="185" spans="1:9" ht="25.5">
      <c r="A185" s="30" t="s">
        <v>500</v>
      </c>
      <c r="B185" s="245"/>
      <c r="C185" s="245" t="s">
        <v>768</v>
      </c>
      <c r="D185" s="245" t="s">
        <v>548</v>
      </c>
      <c r="E185" s="250" t="s">
        <v>662</v>
      </c>
      <c r="F185" s="245"/>
      <c r="G185" s="243">
        <f>G186</f>
        <v>635547</v>
      </c>
      <c r="I185" s="231"/>
    </row>
    <row r="186" spans="1:9" ht="25.5">
      <c r="A186" s="244" t="s">
        <v>482</v>
      </c>
      <c r="B186" s="245"/>
      <c r="C186" s="245" t="s">
        <v>768</v>
      </c>
      <c r="D186" s="245" t="s">
        <v>548</v>
      </c>
      <c r="E186" s="250" t="s">
        <v>662</v>
      </c>
      <c r="F186" s="245">
        <v>200</v>
      </c>
      <c r="G186" s="247">
        <v>635547</v>
      </c>
      <c r="I186" s="231"/>
    </row>
    <row r="187" spans="1:9" ht="12.75">
      <c r="A187" s="241" t="s">
        <v>570</v>
      </c>
      <c r="B187" s="242"/>
      <c r="C187" s="242" t="s">
        <v>768</v>
      </c>
      <c r="D187" s="242" t="s">
        <v>550</v>
      </c>
      <c r="E187" s="242" t="s">
        <v>99</v>
      </c>
      <c r="F187" s="242" t="s">
        <v>99</v>
      </c>
      <c r="G187" s="274">
        <f>G188</f>
        <v>112158776</v>
      </c>
      <c r="I187" s="231"/>
    </row>
    <row r="188" spans="1:9" ht="38.25">
      <c r="A188" s="252" t="s">
        <v>60</v>
      </c>
      <c r="B188" s="245"/>
      <c r="C188" s="245" t="s">
        <v>768</v>
      </c>
      <c r="D188" s="245" t="s">
        <v>550</v>
      </c>
      <c r="E188" s="250" t="s">
        <v>564</v>
      </c>
      <c r="F188" s="245" t="s">
        <v>99</v>
      </c>
      <c r="G188" s="243">
        <f>G189+G200</f>
        <v>112158776</v>
      </c>
      <c r="I188" s="231"/>
    </row>
    <row r="189" spans="1:9" ht="51">
      <c r="A189" s="253" t="s">
        <v>59</v>
      </c>
      <c r="B189" s="245"/>
      <c r="C189" s="245" t="s">
        <v>768</v>
      </c>
      <c r="D189" s="245" t="s">
        <v>550</v>
      </c>
      <c r="E189" s="250" t="s">
        <v>565</v>
      </c>
      <c r="F189" s="246" t="s">
        <v>99</v>
      </c>
      <c r="G189" s="243">
        <f>G190+G195</f>
        <v>109258776</v>
      </c>
      <c r="I189" s="231"/>
    </row>
    <row r="190" spans="1:9" ht="25.5">
      <c r="A190" s="22" t="s">
        <v>908</v>
      </c>
      <c r="B190" s="245"/>
      <c r="C190" s="245" t="s">
        <v>768</v>
      </c>
      <c r="D190" s="245" t="s">
        <v>550</v>
      </c>
      <c r="E190" s="250" t="s">
        <v>633</v>
      </c>
      <c r="F190" s="246"/>
      <c r="G190" s="243">
        <f>G191+G193</f>
        <v>106846110</v>
      </c>
      <c r="I190" s="231"/>
    </row>
    <row r="191" spans="1:9" ht="102">
      <c r="A191" s="16" t="s">
        <v>430</v>
      </c>
      <c r="B191" s="245"/>
      <c r="C191" s="245" t="s">
        <v>768</v>
      </c>
      <c r="D191" s="245" t="s">
        <v>550</v>
      </c>
      <c r="E191" s="250" t="s">
        <v>634</v>
      </c>
      <c r="F191" s="245" t="s">
        <v>99</v>
      </c>
      <c r="G191" s="243">
        <f>G192</f>
        <v>88283012</v>
      </c>
      <c r="I191" s="231"/>
    </row>
    <row r="192" spans="1:9" ht="38.25">
      <c r="A192" s="244" t="s">
        <v>102</v>
      </c>
      <c r="B192" s="245"/>
      <c r="C192" s="245" t="s">
        <v>768</v>
      </c>
      <c r="D192" s="245" t="s">
        <v>550</v>
      </c>
      <c r="E192" s="250" t="s">
        <v>634</v>
      </c>
      <c r="F192" s="245">
        <v>600</v>
      </c>
      <c r="G192" s="247">
        <v>88283012</v>
      </c>
      <c r="I192" s="231"/>
    </row>
    <row r="193" spans="1:9" ht="25.5">
      <c r="A193" s="246" t="s">
        <v>126</v>
      </c>
      <c r="B193" s="245"/>
      <c r="C193" s="245" t="s">
        <v>768</v>
      </c>
      <c r="D193" s="245" t="s">
        <v>550</v>
      </c>
      <c r="E193" s="250" t="s">
        <v>635</v>
      </c>
      <c r="F193" s="245"/>
      <c r="G193" s="243">
        <f>G194</f>
        <v>18563098</v>
      </c>
      <c r="I193" s="231"/>
    </row>
    <row r="194" spans="1:9" ht="38.25">
      <c r="A194" s="244" t="s">
        <v>102</v>
      </c>
      <c r="B194" s="245"/>
      <c r="C194" s="245" t="s">
        <v>768</v>
      </c>
      <c r="D194" s="245" t="s">
        <v>550</v>
      </c>
      <c r="E194" s="250" t="s">
        <v>635</v>
      </c>
      <c r="F194" s="245">
        <v>600</v>
      </c>
      <c r="G194" s="247">
        <v>18563098</v>
      </c>
      <c r="I194" s="231"/>
    </row>
    <row r="195" spans="1:9" ht="25.5">
      <c r="A195" s="31" t="s">
        <v>909</v>
      </c>
      <c r="B195" s="263"/>
      <c r="C195" s="263" t="s">
        <v>768</v>
      </c>
      <c r="D195" s="263" t="s">
        <v>550</v>
      </c>
      <c r="E195" s="265" t="s">
        <v>636</v>
      </c>
      <c r="F195" s="245"/>
      <c r="G195" s="247">
        <f>G196+G198</f>
        <v>2412666</v>
      </c>
      <c r="I195" s="231"/>
    </row>
    <row r="196" spans="1:9" ht="66.75" customHeight="1">
      <c r="A196" s="201" t="s">
        <v>295</v>
      </c>
      <c r="B196" s="263"/>
      <c r="C196" s="620" t="s">
        <v>768</v>
      </c>
      <c r="D196" s="620" t="s">
        <v>550</v>
      </c>
      <c r="E196" s="621" t="s">
        <v>296</v>
      </c>
      <c r="F196" s="609"/>
      <c r="G196" s="247">
        <v>223284</v>
      </c>
      <c r="I196" s="231"/>
    </row>
    <row r="197" spans="1:9" ht="33.75" customHeight="1">
      <c r="A197" s="622" t="s">
        <v>102</v>
      </c>
      <c r="B197" s="263"/>
      <c r="C197" s="620" t="s">
        <v>768</v>
      </c>
      <c r="D197" s="620" t="s">
        <v>550</v>
      </c>
      <c r="E197" s="621" t="s">
        <v>296</v>
      </c>
      <c r="F197" s="609">
        <v>600</v>
      </c>
      <c r="G197" s="247">
        <v>223284</v>
      </c>
      <c r="I197" s="231"/>
    </row>
    <row r="198" spans="1:9" ht="63.75">
      <c r="A198" s="30" t="s">
        <v>930</v>
      </c>
      <c r="B198" s="263"/>
      <c r="C198" s="263" t="s">
        <v>768</v>
      </c>
      <c r="D198" s="263" t="s">
        <v>550</v>
      </c>
      <c r="E198" s="265" t="s">
        <v>637</v>
      </c>
      <c r="F198" s="263"/>
      <c r="G198" s="243">
        <f>G199</f>
        <v>2189382</v>
      </c>
      <c r="I198" s="231"/>
    </row>
    <row r="199" spans="1:9" ht="30" customHeight="1">
      <c r="A199" s="259" t="s">
        <v>102</v>
      </c>
      <c r="B199" s="263"/>
      <c r="C199" s="263" t="s">
        <v>768</v>
      </c>
      <c r="D199" s="263" t="s">
        <v>550</v>
      </c>
      <c r="E199" s="265" t="s">
        <v>637</v>
      </c>
      <c r="F199" s="263">
        <v>600</v>
      </c>
      <c r="G199" s="275">
        <v>2189382</v>
      </c>
      <c r="I199" s="231"/>
    </row>
    <row r="200" spans="1:9" ht="63" customHeight="1">
      <c r="A200" s="613" t="s">
        <v>206</v>
      </c>
      <c r="B200" s="263"/>
      <c r="C200" s="609" t="s">
        <v>768</v>
      </c>
      <c r="D200" s="609" t="s">
        <v>550</v>
      </c>
      <c r="E200" s="612" t="s">
        <v>207</v>
      </c>
      <c r="F200" s="620"/>
      <c r="G200" s="623">
        <v>2900000</v>
      </c>
      <c r="I200" s="231"/>
    </row>
    <row r="201" spans="1:9" ht="63" customHeight="1">
      <c r="A201" s="624" t="s">
        <v>208</v>
      </c>
      <c r="B201" s="263"/>
      <c r="C201" s="609" t="s">
        <v>768</v>
      </c>
      <c r="D201" s="609" t="s">
        <v>550</v>
      </c>
      <c r="E201" s="612" t="s">
        <v>209</v>
      </c>
      <c r="F201" s="620"/>
      <c r="G201" s="623">
        <v>2900000</v>
      </c>
      <c r="I201" s="231"/>
    </row>
    <row r="202" spans="1:9" ht="47.25" customHeight="1">
      <c r="A202" s="201" t="s">
        <v>210</v>
      </c>
      <c r="B202" s="263"/>
      <c r="C202" s="609" t="s">
        <v>768</v>
      </c>
      <c r="D202" s="609" t="s">
        <v>550</v>
      </c>
      <c r="E202" s="612" t="s">
        <v>211</v>
      </c>
      <c r="F202" s="620"/>
      <c r="G202" s="623">
        <v>2900000</v>
      </c>
      <c r="I202" s="231"/>
    </row>
    <row r="203" spans="1:9" ht="30" customHeight="1">
      <c r="A203" s="622" t="s">
        <v>212</v>
      </c>
      <c r="B203" s="263"/>
      <c r="C203" s="609" t="s">
        <v>768</v>
      </c>
      <c r="D203" s="609" t="s">
        <v>550</v>
      </c>
      <c r="E203" s="612" t="s">
        <v>211</v>
      </c>
      <c r="F203" s="620">
        <v>400</v>
      </c>
      <c r="G203" s="623">
        <v>2900000</v>
      </c>
      <c r="I203" s="231"/>
    </row>
    <row r="204" spans="1:9" ht="12.75">
      <c r="A204" s="262" t="s">
        <v>848</v>
      </c>
      <c r="B204" s="263"/>
      <c r="C204" s="263" t="s">
        <v>768</v>
      </c>
      <c r="D204" s="276" t="s">
        <v>219</v>
      </c>
      <c r="E204" s="265"/>
      <c r="F204" s="263"/>
      <c r="G204" s="274">
        <f>G205</f>
        <v>25281286.56</v>
      </c>
      <c r="I204" s="231"/>
    </row>
    <row r="205" spans="1:9" ht="38.25">
      <c r="A205" s="252" t="s">
        <v>58</v>
      </c>
      <c r="B205" s="245"/>
      <c r="C205" s="245" t="s">
        <v>768</v>
      </c>
      <c r="D205" s="272" t="s">
        <v>219</v>
      </c>
      <c r="E205" s="250" t="s">
        <v>564</v>
      </c>
      <c r="F205" s="245"/>
      <c r="G205" s="243">
        <f>G206</f>
        <v>25281286.56</v>
      </c>
      <c r="I205" s="231"/>
    </row>
    <row r="206" spans="1:9" ht="51">
      <c r="A206" s="253" t="s">
        <v>809</v>
      </c>
      <c r="B206" s="245"/>
      <c r="C206" s="245" t="s">
        <v>768</v>
      </c>
      <c r="D206" s="272" t="s">
        <v>219</v>
      </c>
      <c r="E206" s="254" t="s">
        <v>638</v>
      </c>
      <c r="F206" s="246" t="s">
        <v>99</v>
      </c>
      <c r="G206" s="243">
        <f>G207</f>
        <v>25281286.56</v>
      </c>
      <c r="I206" s="231"/>
    </row>
    <row r="207" spans="1:9" ht="38.25">
      <c r="A207" s="22" t="s">
        <v>910</v>
      </c>
      <c r="B207" s="245"/>
      <c r="C207" s="245" t="s">
        <v>768</v>
      </c>
      <c r="D207" s="272" t="s">
        <v>219</v>
      </c>
      <c r="E207" s="250" t="s">
        <v>639</v>
      </c>
      <c r="F207" s="246"/>
      <c r="G207" s="243">
        <f>G208</f>
        <v>25281286.56</v>
      </c>
      <c r="I207" s="231"/>
    </row>
    <row r="208" spans="1:9" ht="25.5">
      <c r="A208" s="246" t="s">
        <v>126</v>
      </c>
      <c r="B208" s="245"/>
      <c r="C208" s="245" t="s">
        <v>768</v>
      </c>
      <c r="D208" s="272" t="s">
        <v>219</v>
      </c>
      <c r="E208" s="250" t="s">
        <v>640</v>
      </c>
      <c r="F208" s="245" t="s">
        <v>99</v>
      </c>
      <c r="G208" s="243">
        <f>SUM(G209:G211)</f>
        <v>25281286.56</v>
      </c>
      <c r="I208" s="231"/>
    </row>
    <row r="209" spans="1:9" ht="63.75">
      <c r="A209" s="244" t="s">
        <v>104</v>
      </c>
      <c r="B209" s="245"/>
      <c r="C209" s="245" t="s">
        <v>768</v>
      </c>
      <c r="D209" s="272" t="s">
        <v>219</v>
      </c>
      <c r="E209" s="250" t="s">
        <v>640</v>
      </c>
      <c r="F209" s="245">
        <v>100</v>
      </c>
      <c r="G209" s="247">
        <v>23184531</v>
      </c>
      <c r="I209" s="231"/>
    </row>
    <row r="210" spans="1:9" ht="25.5">
      <c r="A210" s="244" t="s">
        <v>482</v>
      </c>
      <c r="B210" s="245"/>
      <c r="C210" s="245" t="s">
        <v>768</v>
      </c>
      <c r="D210" s="272" t="s">
        <v>219</v>
      </c>
      <c r="E210" s="250" t="s">
        <v>640</v>
      </c>
      <c r="F210" s="245">
        <v>200</v>
      </c>
      <c r="G210" s="247">
        <v>1475297.56</v>
      </c>
      <c r="I210" s="231"/>
    </row>
    <row r="211" spans="1:9" ht="12.75">
      <c r="A211" s="244" t="s">
        <v>89</v>
      </c>
      <c r="B211" s="245"/>
      <c r="C211" s="245" t="s">
        <v>768</v>
      </c>
      <c r="D211" s="272" t="s">
        <v>219</v>
      </c>
      <c r="E211" s="250" t="s">
        <v>640</v>
      </c>
      <c r="F211" s="245">
        <v>800</v>
      </c>
      <c r="G211" s="247">
        <v>621458</v>
      </c>
      <c r="I211" s="231"/>
    </row>
    <row r="212" spans="1:9" ht="12.75">
      <c r="A212" s="241" t="s">
        <v>849</v>
      </c>
      <c r="B212" s="242"/>
      <c r="C212" s="242" t="s">
        <v>768</v>
      </c>
      <c r="D212" s="242" t="s">
        <v>768</v>
      </c>
      <c r="E212" s="242" t="s">
        <v>99</v>
      </c>
      <c r="F212" s="242" t="s">
        <v>99</v>
      </c>
      <c r="G212" s="274">
        <f>G213</f>
        <v>1427654</v>
      </c>
      <c r="I212" s="231"/>
    </row>
    <row r="213" spans="1:9" ht="63.75">
      <c r="A213" s="252" t="s">
        <v>313</v>
      </c>
      <c r="B213" s="245"/>
      <c r="C213" s="245" t="s">
        <v>768</v>
      </c>
      <c r="D213" s="245" t="s">
        <v>768</v>
      </c>
      <c r="E213" s="250" t="s">
        <v>312</v>
      </c>
      <c r="F213" s="245" t="s">
        <v>99</v>
      </c>
      <c r="G213" s="243">
        <f>G214</f>
        <v>1427654</v>
      </c>
      <c r="I213" s="231"/>
    </row>
    <row r="214" spans="1:9" ht="89.25">
      <c r="A214" s="15" t="s">
        <v>526</v>
      </c>
      <c r="B214" s="245"/>
      <c r="C214" s="245" t="s">
        <v>768</v>
      </c>
      <c r="D214" s="245" t="s">
        <v>768</v>
      </c>
      <c r="E214" s="254" t="s">
        <v>629</v>
      </c>
      <c r="F214" s="246" t="s">
        <v>99</v>
      </c>
      <c r="G214" s="243">
        <f>G215+G224</f>
        <v>1427654</v>
      </c>
      <c r="I214" s="231"/>
    </row>
    <row r="215" spans="1:9" ht="25.5">
      <c r="A215" s="25" t="s">
        <v>628</v>
      </c>
      <c r="B215" s="245"/>
      <c r="C215" s="245" t="s">
        <v>768</v>
      </c>
      <c r="D215" s="245" t="s">
        <v>768</v>
      </c>
      <c r="E215" s="250" t="s">
        <v>627</v>
      </c>
      <c r="F215" s="246"/>
      <c r="G215" s="243">
        <f>G216+G218+G221</f>
        <v>1406089</v>
      </c>
      <c r="I215" s="231"/>
    </row>
    <row r="216" spans="1:9" ht="12.75">
      <c r="A216" s="25" t="s">
        <v>626</v>
      </c>
      <c r="B216" s="245"/>
      <c r="C216" s="245" t="s">
        <v>768</v>
      </c>
      <c r="D216" s="245" t="s">
        <v>768</v>
      </c>
      <c r="E216" s="250" t="s">
        <v>625</v>
      </c>
      <c r="F216" s="246"/>
      <c r="G216" s="243">
        <f>G217</f>
        <v>10000</v>
      </c>
      <c r="I216" s="231"/>
    </row>
    <row r="217" spans="1:9" ht="38.25">
      <c r="A217" s="244" t="s">
        <v>102</v>
      </c>
      <c r="B217" s="245"/>
      <c r="C217" s="245" t="s">
        <v>768</v>
      </c>
      <c r="D217" s="245" t="s">
        <v>768</v>
      </c>
      <c r="E217" s="250" t="s">
        <v>625</v>
      </c>
      <c r="F217" s="246">
        <v>600</v>
      </c>
      <c r="G217" s="247">
        <v>10000</v>
      </c>
      <c r="I217" s="231"/>
    </row>
    <row r="218" spans="1:9" ht="12.75">
      <c r="A218" s="394" t="s">
        <v>297</v>
      </c>
      <c r="B218" s="245"/>
      <c r="C218" s="609" t="s">
        <v>768</v>
      </c>
      <c r="D218" s="609" t="s">
        <v>768</v>
      </c>
      <c r="E218" s="612" t="s">
        <v>298</v>
      </c>
      <c r="F218" s="625"/>
      <c r="G218" s="247">
        <f>G219+G220</f>
        <v>500219</v>
      </c>
      <c r="I218" s="231"/>
    </row>
    <row r="219" spans="1:9" ht="14.25" customHeight="1">
      <c r="A219" s="608" t="s">
        <v>93</v>
      </c>
      <c r="B219" s="245"/>
      <c r="C219" s="609" t="s">
        <v>768</v>
      </c>
      <c r="D219" s="609" t="s">
        <v>768</v>
      </c>
      <c r="E219" s="612" t="s">
        <v>298</v>
      </c>
      <c r="F219" s="625">
        <v>300</v>
      </c>
      <c r="G219" s="247">
        <v>281983</v>
      </c>
      <c r="I219" s="231"/>
    </row>
    <row r="220" spans="1:9" ht="23.25" customHeight="1">
      <c r="A220" s="608" t="s">
        <v>102</v>
      </c>
      <c r="B220" s="245"/>
      <c r="C220" s="609" t="s">
        <v>768</v>
      </c>
      <c r="D220" s="609" t="s">
        <v>768</v>
      </c>
      <c r="E220" s="612" t="s">
        <v>298</v>
      </c>
      <c r="F220" s="625">
        <v>600</v>
      </c>
      <c r="G220" s="247">
        <v>218236</v>
      </c>
      <c r="I220" s="231"/>
    </row>
    <row r="221" spans="1:9" ht="25.5">
      <c r="A221" s="30" t="s">
        <v>131</v>
      </c>
      <c r="B221" s="245"/>
      <c r="C221" s="245" t="s">
        <v>768</v>
      </c>
      <c r="D221" s="245" t="s">
        <v>768</v>
      </c>
      <c r="E221" s="250" t="s">
        <v>132</v>
      </c>
      <c r="F221" s="246"/>
      <c r="G221" s="243">
        <f>G222+G223</f>
        <v>895870</v>
      </c>
      <c r="I221" s="231"/>
    </row>
    <row r="222" spans="1:9" ht="18" customHeight="1">
      <c r="A222" s="244" t="s">
        <v>93</v>
      </c>
      <c r="B222" s="245"/>
      <c r="C222" s="245" t="s">
        <v>768</v>
      </c>
      <c r="D222" s="245" t="s">
        <v>768</v>
      </c>
      <c r="E222" s="250" t="s">
        <v>132</v>
      </c>
      <c r="F222" s="246">
        <v>300</v>
      </c>
      <c r="G222" s="247">
        <v>489326</v>
      </c>
      <c r="I222" s="231"/>
    </row>
    <row r="223" spans="1:9" ht="38.25">
      <c r="A223" s="244" t="s">
        <v>102</v>
      </c>
      <c r="B223" s="245"/>
      <c r="C223" s="245" t="s">
        <v>768</v>
      </c>
      <c r="D223" s="245" t="s">
        <v>768</v>
      </c>
      <c r="E223" s="250" t="s">
        <v>132</v>
      </c>
      <c r="F223" s="246">
        <v>600</v>
      </c>
      <c r="G223" s="247">
        <v>406544</v>
      </c>
      <c r="I223" s="231"/>
    </row>
    <row r="224" spans="1:9" ht="51">
      <c r="A224" s="26" t="s">
        <v>72</v>
      </c>
      <c r="B224" s="263"/>
      <c r="C224" s="263" t="s">
        <v>768</v>
      </c>
      <c r="D224" s="263" t="s">
        <v>768</v>
      </c>
      <c r="E224" s="265" t="s">
        <v>73</v>
      </c>
      <c r="F224" s="277"/>
      <c r="G224" s="243">
        <f>G225</f>
        <v>21565</v>
      </c>
      <c r="I224" s="231"/>
    </row>
    <row r="225" spans="1:9" ht="25.5">
      <c r="A225" s="26" t="s">
        <v>75</v>
      </c>
      <c r="B225" s="263"/>
      <c r="C225" s="263" t="s">
        <v>768</v>
      </c>
      <c r="D225" s="263" t="s">
        <v>768</v>
      </c>
      <c r="E225" s="265" t="s">
        <v>74</v>
      </c>
      <c r="F225" s="277"/>
      <c r="G225" s="243">
        <f>G226</f>
        <v>21565</v>
      </c>
      <c r="I225" s="231"/>
    </row>
    <row r="226" spans="1:9" ht="25.5">
      <c r="A226" s="259" t="s">
        <v>482</v>
      </c>
      <c r="B226" s="263"/>
      <c r="C226" s="263" t="s">
        <v>768</v>
      </c>
      <c r="D226" s="263" t="s">
        <v>768</v>
      </c>
      <c r="E226" s="265" t="s">
        <v>74</v>
      </c>
      <c r="F226" s="277">
        <v>200</v>
      </c>
      <c r="G226" s="275">
        <v>21565</v>
      </c>
      <c r="I226" s="231"/>
    </row>
    <row r="227" spans="1:9" ht="12.75">
      <c r="A227" s="241" t="s">
        <v>571</v>
      </c>
      <c r="B227" s="242"/>
      <c r="C227" s="242" t="s">
        <v>768</v>
      </c>
      <c r="D227" s="242" t="s">
        <v>220</v>
      </c>
      <c r="E227" s="242" t="s">
        <v>99</v>
      </c>
      <c r="F227" s="242" t="s">
        <v>99</v>
      </c>
      <c r="G227" s="274">
        <f>G228</f>
        <v>5905027</v>
      </c>
      <c r="I227" s="231"/>
    </row>
    <row r="228" spans="1:9" ht="38.25">
      <c r="A228" s="252" t="s">
        <v>58</v>
      </c>
      <c r="B228" s="245"/>
      <c r="C228" s="245" t="s">
        <v>768</v>
      </c>
      <c r="D228" s="245" t="s">
        <v>220</v>
      </c>
      <c r="E228" s="250" t="s">
        <v>564</v>
      </c>
      <c r="F228" s="245" t="s">
        <v>99</v>
      </c>
      <c r="G228" s="243">
        <f>G229+G238</f>
        <v>5905027</v>
      </c>
      <c r="I228" s="231"/>
    </row>
    <row r="229" spans="1:9" ht="51">
      <c r="A229" s="253" t="s">
        <v>876</v>
      </c>
      <c r="B229" s="245"/>
      <c r="C229" s="245" t="s">
        <v>768</v>
      </c>
      <c r="D229" s="245" t="s">
        <v>220</v>
      </c>
      <c r="E229" s="250" t="s">
        <v>641</v>
      </c>
      <c r="F229" s="246" t="s">
        <v>99</v>
      </c>
      <c r="G229" s="243">
        <f>G230+G233</f>
        <v>5898027</v>
      </c>
      <c r="I229" s="231"/>
    </row>
    <row r="230" spans="1:9" ht="51">
      <c r="A230" s="22" t="s">
        <v>911</v>
      </c>
      <c r="B230" s="245"/>
      <c r="C230" s="245" t="s">
        <v>768</v>
      </c>
      <c r="D230" s="245" t="s">
        <v>220</v>
      </c>
      <c r="E230" s="250" t="s">
        <v>642</v>
      </c>
      <c r="F230" s="246"/>
      <c r="G230" s="243">
        <f>G231</f>
        <v>221676</v>
      </c>
      <c r="I230" s="231"/>
    </row>
    <row r="231" spans="1:9" ht="38.25">
      <c r="A231" s="244" t="s">
        <v>260</v>
      </c>
      <c r="B231" s="245"/>
      <c r="C231" s="245" t="s">
        <v>768</v>
      </c>
      <c r="D231" s="245" t="s">
        <v>220</v>
      </c>
      <c r="E231" s="250" t="s">
        <v>643</v>
      </c>
      <c r="F231" s="245"/>
      <c r="G231" s="243">
        <f>G232</f>
        <v>221676</v>
      </c>
      <c r="I231" s="231"/>
    </row>
    <row r="232" spans="1:9" ht="63.75">
      <c r="A232" s="244" t="s">
        <v>104</v>
      </c>
      <c r="B232" s="245"/>
      <c r="C232" s="245" t="s">
        <v>768</v>
      </c>
      <c r="D232" s="245" t="s">
        <v>220</v>
      </c>
      <c r="E232" s="250" t="s">
        <v>643</v>
      </c>
      <c r="F232" s="245">
        <v>100</v>
      </c>
      <c r="G232" s="247">
        <v>221676</v>
      </c>
      <c r="I232" s="231"/>
    </row>
    <row r="233" spans="1:9" ht="38.25">
      <c r="A233" s="25" t="s">
        <v>661</v>
      </c>
      <c r="B233" s="245"/>
      <c r="C233" s="245" t="s">
        <v>768</v>
      </c>
      <c r="D233" s="245" t="s">
        <v>220</v>
      </c>
      <c r="E233" s="250" t="s">
        <v>645</v>
      </c>
      <c r="F233" s="245"/>
      <c r="G233" s="243">
        <f>G234</f>
        <v>5676351</v>
      </c>
      <c r="I233" s="231"/>
    </row>
    <row r="234" spans="1:9" ht="25.5">
      <c r="A234" s="246" t="s">
        <v>126</v>
      </c>
      <c r="B234" s="245"/>
      <c r="C234" s="245" t="s">
        <v>768</v>
      </c>
      <c r="D234" s="245" t="s">
        <v>220</v>
      </c>
      <c r="E234" s="250" t="s">
        <v>646</v>
      </c>
      <c r="F234" s="245" t="s">
        <v>99</v>
      </c>
      <c r="G234" s="243">
        <f>SUM(G235:G237)</f>
        <v>5676351</v>
      </c>
      <c r="I234" s="231"/>
    </row>
    <row r="235" spans="1:9" ht="63.75">
      <c r="A235" s="244" t="s">
        <v>104</v>
      </c>
      <c r="B235" s="245"/>
      <c r="C235" s="245" t="s">
        <v>768</v>
      </c>
      <c r="D235" s="245" t="s">
        <v>220</v>
      </c>
      <c r="E235" s="250" t="s">
        <v>646</v>
      </c>
      <c r="F235" s="245" t="s">
        <v>27</v>
      </c>
      <c r="G235" s="247">
        <v>4573735</v>
      </c>
      <c r="I235" s="231"/>
    </row>
    <row r="236" spans="1:9" ht="25.5">
      <c r="A236" s="256" t="s">
        <v>482</v>
      </c>
      <c r="B236" s="257"/>
      <c r="C236" s="257" t="s">
        <v>768</v>
      </c>
      <c r="D236" s="257" t="s">
        <v>220</v>
      </c>
      <c r="E236" s="258" t="s">
        <v>646</v>
      </c>
      <c r="F236" s="257" t="s">
        <v>600</v>
      </c>
      <c r="G236" s="261">
        <v>1071930</v>
      </c>
      <c r="I236" s="231"/>
    </row>
    <row r="237" spans="1:9" ht="12.75">
      <c r="A237" s="244" t="s">
        <v>89</v>
      </c>
      <c r="B237" s="234"/>
      <c r="C237" s="257" t="s">
        <v>768</v>
      </c>
      <c r="D237" s="257" t="s">
        <v>220</v>
      </c>
      <c r="E237" s="258" t="s">
        <v>646</v>
      </c>
      <c r="F237" s="234">
        <v>800</v>
      </c>
      <c r="G237" s="278">
        <v>30686</v>
      </c>
      <c r="I237" s="231"/>
    </row>
    <row r="238" spans="1:9" ht="51">
      <c r="A238" s="253" t="s">
        <v>583</v>
      </c>
      <c r="B238" s="271"/>
      <c r="C238" s="257" t="s">
        <v>768</v>
      </c>
      <c r="D238" s="257" t="s">
        <v>220</v>
      </c>
      <c r="E238" s="254" t="s">
        <v>565</v>
      </c>
      <c r="F238" s="245"/>
      <c r="G238" s="243">
        <f>G239</f>
        <v>7000</v>
      </c>
      <c r="I238" s="231"/>
    </row>
    <row r="239" spans="1:9" ht="25.5">
      <c r="A239" s="31" t="s">
        <v>909</v>
      </c>
      <c r="B239" s="271"/>
      <c r="C239" s="257" t="s">
        <v>768</v>
      </c>
      <c r="D239" s="257" t="s">
        <v>220</v>
      </c>
      <c r="E239" s="254" t="s">
        <v>636</v>
      </c>
      <c r="F239" s="245"/>
      <c r="G239" s="243">
        <f>G240</f>
        <v>7000</v>
      </c>
      <c r="I239" s="231"/>
    </row>
    <row r="240" spans="1:9" ht="12.75">
      <c r="A240" s="28" t="s">
        <v>589</v>
      </c>
      <c r="B240" s="271"/>
      <c r="C240" s="257" t="s">
        <v>768</v>
      </c>
      <c r="D240" s="257" t="s">
        <v>220</v>
      </c>
      <c r="E240" s="250" t="s">
        <v>588</v>
      </c>
      <c r="F240" s="245"/>
      <c r="G240" s="243">
        <f>G241</f>
        <v>7000</v>
      </c>
      <c r="I240" s="231"/>
    </row>
    <row r="241" spans="1:9" ht="19.5" customHeight="1">
      <c r="A241" s="244" t="s">
        <v>93</v>
      </c>
      <c r="B241" s="271"/>
      <c r="C241" s="257" t="s">
        <v>768</v>
      </c>
      <c r="D241" s="257" t="s">
        <v>220</v>
      </c>
      <c r="E241" s="250" t="s">
        <v>588</v>
      </c>
      <c r="F241" s="245">
        <v>300</v>
      </c>
      <c r="G241" s="247">
        <v>7000</v>
      </c>
      <c r="I241" s="231"/>
    </row>
    <row r="242" spans="1:9" ht="12.75">
      <c r="A242" s="237" t="s">
        <v>503</v>
      </c>
      <c r="B242" s="238"/>
      <c r="C242" s="238" t="s">
        <v>560</v>
      </c>
      <c r="D242" s="239" t="s">
        <v>912</v>
      </c>
      <c r="E242" s="238" t="s">
        <v>99</v>
      </c>
      <c r="F242" s="238" t="s">
        <v>99</v>
      </c>
      <c r="G242" s="240">
        <f>G243</f>
        <v>27794150</v>
      </c>
      <c r="I242" s="231"/>
    </row>
    <row r="243" spans="1:9" ht="12.75">
      <c r="A243" s="241" t="s">
        <v>572</v>
      </c>
      <c r="B243" s="242"/>
      <c r="C243" s="242" t="s">
        <v>560</v>
      </c>
      <c r="D243" s="242" t="s">
        <v>548</v>
      </c>
      <c r="E243" s="242" t="s">
        <v>99</v>
      </c>
      <c r="F243" s="242" t="s">
        <v>99</v>
      </c>
      <c r="G243" s="243">
        <f>G244</f>
        <v>27794150</v>
      </c>
      <c r="I243" s="231"/>
    </row>
    <row r="244" spans="1:9" ht="25.5">
      <c r="A244" s="252" t="s">
        <v>821</v>
      </c>
      <c r="B244" s="245"/>
      <c r="C244" s="245" t="s">
        <v>560</v>
      </c>
      <c r="D244" s="245" t="s">
        <v>548</v>
      </c>
      <c r="E244" s="250" t="s">
        <v>647</v>
      </c>
      <c r="F244" s="245" t="s">
        <v>99</v>
      </c>
      <c r="G244" s="243">
        <f>G245+G251</f>
        <v>27794150</v>
      </c>
      <c r="I244" s="231"/>
    </row>
    <row r="245" spans="1:9" ht="25.5">
      <c r="A245" s="262" t="s">
        <v>21</v>
      </c>
      <c r="B245" s="245"/>
      <c r="C245" s="245" t="s">
        <v>560</v>
      </c>
      <c r="D245" s="245" t="s">
        <v>548</v>
      </c>
      <c r="E245" s="250" t="s">
        <v>648</v>
      </c>
      <c r="F245" s="246" t="s">
        <v>99</v>
      </c>
      <c r="G245" s="243">
        <f>G246</f>
        <v>4287683</v>
      </c>
      <c r="I245" s="231"/>
    </row>
    <row r="246" spans="1:9" ht="25.5">
      <c r="A246" s="23" t="s">
        <v>624</v>
      </c>
      <c r="B246" s="245"/>
      <c r="C246" s="245" t="s">
        <v>560</v>
      </c>
      <c r="D246" s="245" t="s">
        <v>548</v>
      </c>
      <c r="E246" s="250" t="s">
        <v>649</v>
      </c>
      <c r="F246" s="246"/>
      <c r="G246" s="243">
        <f>G247</f>
        <v>4287683</v>
      </c>
      <c r="I246" s="231"/>
    </row>
    <row r="247" spans="1:9" ht="25.5">
      <c r="A247" s="246" t="s">
        <v>516</v>
      </c>
      <c r="B247" s="245"/>
      <c r="C247" s="245" t="s">
        <v>560</v>
      </c>
      <c r="D247" s="245" t="s">
        <v>548</v>
      </c>
      <c r="E247" s="250" t="s">
        <v>650</v>
      </c>
      <c r="F247" s="245" t="s">
        <v>99</v>
      </c>
      <c r="G247" s="243">
        <f>SUM(G248:G250)</f>
        <v>4287683</v>
      </c>
      <c r="I247" s="231"/>
    </row>
    <row r="248" spans="1:9" ht="63.75">
      <c r="A248" s="244" t="s">
        <v>104</v>
      </c>
      <c r="B248" s="245"/>
      <c r="C248" s="245" t="s">
        <v>560</v>
      </c>
      <c r="D248" s="245" t="s">
        <v>548</v>
      </c>
      <c r="E248" s="250" t="s">
        <v>650</v>
      </c>
      <c r="F248" s="245">
        <v>100</v>
      </c>
      <c r="G248" s="247">
        <v>3957934</v>
      </c>
      <c r="I248" s="231"/>
    </row>
    <row r="249" spans="1:9" ht="25.5">
      <c r="A249" s="244" t="s">
        <v>482</v>
      </c>
      <c r="B249" s="245"/>
      <c r="C249" s="245" t="s">
        <v>560</v>
      </c>
      <c r="D249" s="245" t="s">
        <v>548</v>
      </c>
      <c r="E249" s="250" t="s">
        <v>650</v>
      </c>
      <c r="F249" s="245">
        <v>200</v>
      </c>
      <c r="G249" s="247">
        <v>295793</v>
      </c>
      <c r="I249" s="231"/>
    </row>
    <row r="250" spans="1:9" ht="12.75">
      <c r="A250" s="244" t="s">
        <v>89</v>
      </c>
      <c r="B250" s="245"/>
      <c r="C250" s="245" t="s">
        <v>560</v>
      </c>
      <c r="D250" s="245" t="s">
        <v>548</v>
      </c>
      <c r="E250" s="250" t="s">
        <v>650</v>
      </c>
      <c r="F250" s="245">
        <v>800</v>
      </c>
      <c r="G250" s="247">
        <v>33956</v>
      </c>
      <c r="I250" s="231"/>
    </row>
    <row r="251" spans="1:9" ht="25.5">
      <c r="A251" s="253" t="s">
        <v>22</v>
      </c>
      <c r="B251" s="245"/>
      <c r="C251" s="245" t="s">
        <v>560</v>
      </c>
      <c r="D251" s="245" t="s">
        <v>548</v>
      </c>
      <c r="E251" s="250" t="s">
        <v>651</v>
      </c>
      <c r="F251" s="246"/>
      <c r="G251" s="243">
        <f>G252</f>
        <v>23506467</v>
      </c>
      <c r="I251" s="231"/>
    </row>
    <row r="252" spans="1:9" ht="51">
      <c r="A252" s="23" t="s">
        <v>400</v>
      </c>
      <c r="B252" s="245"/>
      <c r="C252" s="245" t="s">
        <v>560</v>
      </c>
      <c r="D252" s="245" t="s">
        <v>548</v>
      </c>
      <c r="E252" s="250" t="s">
        <v>652</v>
      </c>
      <c r="F252" s="246"/>
      <c r="G252" s="243">
        <f>G253+G256+G258+G260</f>
        <v>23506467</v>
      </c>
      <c r="I252" s="231"/>
    </row>
    <row r="253" spans="1:9" ht="25.5">
      <c r="A253" s="246" t="s">
        <v>516</v>
      </c>
      <c r="B253" s="245"/>
      <c r="C253" s="245" t="s">
        <v>560</v>
      </c>
      <c r="D253" s="245" t="s">
        <v>548</v>
      </c>
      <c r="E253" s="250" t="s">
        <v>653</v>
      </c>
      <c r="F253" s="246"/>
      <c r="G253" s="243">
        <f>G254</f>
        <v>17371017</v>
      </c>
      <c r="I253" s="231"/>
    </row>
    <row r="254" spans="1:9" ht="38.25">
      <c r="A254" s="244" t="s">
        <v>102</v>
      </c>
      <c r="B254" s="245"/>
      <c r="C254" s="245" t="s">
        <v>560</v>
      </c>
      <c r="D254" s="245" t="s">
        <v>548</v>
      </c>
      <c r="E254" s="250" t="s">
        <v>653</v>
      </c>
      <c r="F254" s="246">
        <v>600</v>
      </c>
      <c r="G254" s="247">
        <v>17371017</v>
      </c>
      <c r="I254" s="231"/>
    </row>
    <row r="255" spans="1:9" ht="25.5">
      <c r="A255" s="201" t="s">
        <v>301</v>
      </c>
      <c r="B255" s="245"/>
      <c r="C255" s="245" t="s">
        <v>560</v>
      </c>
      <c r="D255" s="245" t="s">
        <v>548</v>
      </c>
      <c r="E255" s="250" t="s">
        <v>300</v>
      </c>
      <c r="F255" s="246"/>
      <c r="G255" s="247">
        <f>G256</f>
        <v>5095842</v>
      </c>
      <c r="I255" s="231"/>
    </row>
    <row r="256" spans="1:9" ht="24.75" customHeight="1">
      <c r="A256" s="244" t="s">
        <v>102</v>
      </c>
      <c r="B256" s="245"/>
      <c r="C256" s="245" t="s">
        <v>560</v>
      </c>
      <c r="D256" s="245" t="s">
        <v>548</v>
      </c>
      <c r="E256" s="250" t="s">
        <v>300</v>
      </c>
      <c r="F256" s="246">
        <v>600</v>
      </c>
      <c r="G256" s="247">
        <v>5095842</v>
      </c>
      <c r="I256" s="231"/>
    </row>
    <row r="257" spans="1:9" ht="25.5">
      <c r="A257" s="201" t="s">
        <v>854</v>
      </c>
      <c r="B257" s="245"/>
      <c r="C257" s="245" t="s">
        <v>560</v>
      </c>
      <c r="D257" s="245" t="s">
        <v>548</v>
      </c>
      <c r="E257" s="250" t="s">
        <v>855</v>
      </c>
      <c r="F257" s="246"/>
      <c r="G257" s="247">
        <v>236408</v>
      </c>
      <c r="I257" s="231"/>
    </row>
    <row r="258" spans="1:9" ht="38.25">
      <c r="A258" s="244" t="s">
        <v>102</v>
      </c>
      <c r="B258" s="245"/>
      <c r="C258" s="245" t="s">
        <v>560</v>
      </c>
      <c r="D258" s="245" t="s">
        <v>548</v>
      </c>
      <c r="E258" s="250" t="s">
        <v>855</v>
      </c>
      <c r="F258" s="246">
        <v>600</v>
      </c>
      <c r="G258" s="247">
        <v>236408</v>
      </c>
      <c r="I258" s="231"/>
    </row>
    <row r="259" spans="1:9" ht="24">
      <c r="A259" s="28" t="s">
        <v>622</v>
      </c>
      <c r="B259" s="245"/>
      <c r="C259" s="272" t="s">
        <v>560</v>
      </c>
      <c r="D259" s="245" t="s">
        <v>548</v>
      </c>
      <c r="E259" s="250" t="s">
        <v>585</v>
      </c>
      <c r="F259" s="246"/>
      <c r="G259" s="247">
        <v>803200</v>
      </c>
      <c r="I259" s="231"/>
    </row>
    <row r="260" spans="1:9" ht="25.5">
      <c r="A260" s="256" t="s">
        <v>103</v>
      </c>
      <c r="B260" s="245"/>
      <c r="C260" s="279" t="s">
        <v>560</v>
      </c>
      <c r="D260" s="245" t="s">
        <v>548</v>
      </c>
      <c r="E260" s="258" t="s">
        <v>585</v>
      </c>
      <c r="F260" s="280">
        <v>200</v>
      </c>
      <c r="G260" s="247">
        <v>803200</v>
      </c>
      <c r="I260" s="231"/>
    </row>
    <row r="261" spans="1:9" ht="12.75">
      <c r="A261" s="281" t="s">
        <v>850</v>
      </c>
      <c r="B261" s="282"/>
      <c r="C261" s="282" t="s">
        <v>220</v>
      </c>
      <c r="D261" s="282" t="s">
        <v>912</v>
      </c>
      <c r="E261" s="283"/>
      <c r="F261" s="284"/>
      <c r="G261" s="240">
        <f>G262</f>
        <v>986911</v>
      </c>
      <c r="I261" s="231"/>
    </row>
    <row r="262" spans="1:9" ht="12.75">
      <c r="A262" s="259" t="s">
        <v>851</v>
      </c>
      <c r="B262" s="276"/>
      <c r="C262" s="276" t="s">
        <v>220</v>
      </c>
      <c r="D262" s="276" t="s">
        <v>768</v>
      </c>
      <c r="E262" s="265"/>
      <c r="F262" s="277"/>
      <c r="G262" s="274">
        <f>G263</f>
        <v>986911</v>
      </c>
      <c r="I262" s="231"/>
    </row>
    <row r="263" spans="1:9" ht="25.5">
      <c r="A263" s="252" t="s">
        <v>391</v>
      </c>
      <c r="B263" s="272"/>
      <c r="C263" s="272" t="s">
        <v>220</v>
      </c>
      <c r="D263" s="272" t="s">
        <v>768</v>
      </c>
      <c r="E263" s="250" t="s">
        <v>820</v>
      </c>
      <c r="F263" s="246"/>
      <c r="G263" s="243">
        <f>G264</f>
        <v>986911</v>
      </c>
      <c r="I263" s="231"/>
    </row>
    <row r="264" spans="1:9" ht="25.5">
      <c r="A264" s="253" t="s">
        <v>392</v>
      </c>
      <c r="B264" s="272"/>
      <c r="C264" s="272" t="s">
        <v>220</v>
      </c>
      <c r="D264" s="272" t="s">
        <v>768</v>
      </c>
      <c r="E264" s="254" t="s">
        <v>822</v>
      </c>
      <c r="F264" s="246"/>
      <c r="G264" s="243">
        <f>G265</f>
        <v>986911</v>
      </c>
      <c r="I264" s="231"/>
    </row>
    <row r="265" spans="1:9" ht="38.25">
      <c r="A265" s="32" t="s">
        <v>213</v>
      </c>
      <c r="B265" s="272"/>
      <c r="C265" s="272" t="s">
        <v>220</v>
      </c>
      <c r="D265" s="272" t="s">
        <v>768</v>
      </c>
      <c r="E265" s="250" t="s">
        <v>853</v>
      </c>
      <c r="F265" s="246"/>
      <c r="G265" s="243">
        <f>G266</f>
        <v>986911</v>
      </c>
      <c r="I265" s="231"/>
    </row>
    <row r="266" spans="1:9" ht="25.5">
      <c r="A266" s="256" t="s">
        <v>103</v>
      </c>
      <c r="B266" s="279"/>
      <c r="C266" s="279" t="s">
        <v>220</v>
      </c>
      <c r="D266" s="279" t="s">
        <v>768</v>
      </c>
      <c r="E266" s="258" t="s">
        <v>853</v>
      </c>
      <c r="F266" s="280">
        <v>200</v>
      </c>
      <c r="G266" s="261">
        <v>986911</v>
      </c>
      <c r="I266" s="231"/>
    </row>
    <row r="267" spans="1:9" ht="12.75">
      <c r="A267" s="237" t="s">
        <v>573</v>
      </c>
      <c r="B267" s="238"/>
      <c r="C267" s="238" t="s">
        <v>561</v>
      </c>
      <c r="D267" s="239" t="s">
        <v>912</v>
      </c>
      <c r="E267" s="238" t="s">
        <v>99</v>
      </c>
      <c r="F267" s="238" t="s">
        <v>99</v>
      </c>
      <c r="G267" s="273">
        <f>G268+G274+G280</f>
        <v>4241369.87</v>
      </c>
      <c r="I267" s="231"/>
    </row>
    <row r="268" spans="1:9" ht="12.75">
      <c r="A268" s="246" t="s">
        <v>181</v>
      </c>
      <c r="B268" s="245"/>
      <c r="C268" s="245">
        <v>10</v>
      </c>
      <c r="D268" s="272" t="s">
        <v>548</v>
      </c>
      <c r="E268" s="245"/>
      <c r="F268" s="245"/>
      <c r="G268" s="243">
        <f>G269</f>
        <v>10000</v>
      </c>
      <c r="H268" s="285"/>
      <c r="I268" s="231"/>
    </row>
    <row r="269" spans="1:9" ht="25.5">
      <c r="A269" s="252" t="s">
        <v>185</v>
      </c>
      <c r="B269" s="271"/>
      <c r="C269" s="245">
        <v>10</v>
      </c>
      <c r="D269" s="272" t="s">
        <v>548</v>
      </c>
      <c r="E269" s="250" t="s">
        <v>808</v>
      </c>
      <c r="F269" s="271"/>
      <c r="G269" s="243">
        <f>G270</f>
        <v>10000</v>
      </c>
      <c r="I269" s="231"/>
    </row>
    <row r="270" spans="1:9" ht="51">
      <c r="A270" s="253" t="s">
        <v>186</v>
      </c>
      <c r="B270" s="271"/>
      <c r="C270" s="245">
        <v>10</v>
      </c>
      <c r="D270" s="272" t="s">
        <v>548</v>
      </c>
      <c r="E270" s="250" t="s">
        <v>668</v>
      </c>
      <c r="F270" s="271"/>
      <c r="G270" s="243">
        <f>G271</f>
        <v>10000</v>
      </c>
      <c r="I270" s="231"/>
    </row>
    <row r="271" spans="1:9" ht="25.5">
      <c r="A271" s="23" t="s">
        <v>320</v>
      </c>
      <c r="B271" s="271"/>
      <c r="C271" s="245">
        <v>10</v>
      </c>
      <c r="D271" s="272" t="s">
        <v>548</v>
      </c>
      <c r="E271" s="250" t="s">
        <v>182</v>
      </c>
      <c r="F271" s="271"/>
      <c r="G271" s="243">
        <f>G272</f>
        <v>10000</v>
      </c>
      <c r="I271" s="231"/>
    </row>
    <row r="272" spans="1:9" ht="25.5">
      <c r="A272" s="23" t="s">
        <v>184</v>
      </c>
      <c r="B272" s="271"/>
      <c r="C272" s="245">
        <v>10</v>
      </c>
      <c r="D272" s="272" t="s">
        <v>548</v>
      </c>
      <c r="E272" s="250" t="s">
        <v>183</v>
      </c>
      <c r="F272" s="271"/>
      <c r="G272" s="243">
        <f>G273</f>
        <v>10000</v>
      </c>
      <c r="I272" s="231"/>
    </row>
    <row r="273" spans="1:9" ht="25.5">
      <c r="A273" s="244" t="s">
        <v>93</v>
      </c>
      <c r="B273" s="271"/>
      <c r="C273" s="245">
        <v>10</v>
      </c>
      <c r="D273" s="272" t="s">
        <v>548</v>
      </c>
      <c r="E273" s="250" t="s">
        <v>183</v>
      </c>
      <c r="F273" s="245">
        <v>300</v>
      </c>
      <c r="G273" s="247">
        <v>10000</v>
      </c>
      <c r="I273" s="231"/>
    </row>
    <row r="274" spans="1:9" ht="12.75">
      <c r="A274" s="244" t="s">
        <v>574</v>
      </c>
      <c r="B274" s="271"/>
      <c r="C274" s="245">
        <v>10</v>
      </c>
      <c r="D274" s="245" t="s">
        <v>219</v>
      </c>
      <c r="E274" s="250"/>
      <c r="F274" s="245"/>
      <c r="G274" s="243">
        <f>G275</f>
        <v>20000</v>
      </c>
      <c r="I274" s="231"/>
    </row>
    <row r="275" spans="1:9" ht="38.25">
      <c r="A275" s="252" t="s">
        <v>584</v>
      </c>
      <c r="B275" s="271"/>
      <c r="C275" s="245">
        <v>10</v>
      </c>
      <c r="D275" s="245" t="s">
        <v>219</v>
      </c>
      <c r="E275" s="250" t="s">
        <v>564</v>
      </c>
      <c r="F275" s="245"/>
      <c r="G275" s="243">
        <f>G276</f>
        <v>20000</v>
      </c>
      <c r="I275" s="231"/>
    </row>
    <row r="276" spans="1:9" ht="51">
      <c r="A276" s="253" t="s">
        <v>583</v>
      </c>
      <c r="B276" s="271"/>
      <c r="C276" s="245">
        <v>10</v>
      </c>
      <c r="D276" s="245" t="s">
        <v>219</v>
      </c>
      <c r="E276" s="254" t="s">
        <v>565</v>
      </c>
      <c r="F276" s="245"/>
      <c r="G276" s="243">
        <f>G277</f>
        <v>20000</v>
      </c>
      <c r="I276" s="231"/>
    </row>
    <row r="277" spans="1:9" ht="25.5">
      <c r="A277" s="31" t="s">
        <v>909</v>
      </c>
      <c r="B277" s="271"/>
      <c r="C277" s="245">
        <v>10</v>
      </c>
      <c r="D277" s="245" t="s">
        <v>219</v>
      </c>
      <c r="E277" s="254" t="s">
        <v>636</v>
      </c>
      <c r="F277" s="245"/>
      <c r="G277" s="243">
        <f>G278</f>
        <v>20000</v>
      </c>
      <c r="I277" s="231"/>
    </row>
    <row r="278" spans="1:9" ht="12.75">
      <c r="A278" s="28" t="s">
        <v>589</v>
      </c>
      <c r="B278" s="271"/>
      <c r="C278" s="245">
        <v>10</v>
      </c>
      <c r="D278" s="245" t="s">
        <v>219</v>
      </c>
      <c r="E278" s="250" t="s">
        <v>588</v>
      </c>
      <c r="F278" s="245"/>
      <c r="G278" s="243">
        <f>G279</f>
        <v>20000</v>
      </c>
      <c r="I278" s="231"/>
    </row>
    <row r="279" spans="1:9" ht="25.5">
      <c r="A279" s="244" t="s">
        <v>93</v>
      </c>
      <c r="B279" s="271"/>
      <c r="C279" s="245">
        <v>10</v>
      </c>
      <c r="D279" s="245" t="s">
        <v>219</v>
      </c>
      <c r="E279" s="250" t="s">
        <v>588</v>
      </c>
      <c r="F279" s="245">
        <v>300</v>
      </c>
      <c r="G279" s="247">
        <v>20000</v>
      </c>
      <c r="I279" s="231"/>
    </row>
    <row r="280" spans="1:9" ht="12.75">
      <c r="A280" s="241" t="s">
        <v>575</v>
      </c>
      <c r="B280" s="242"/>
      <c r="C280" s="242" t="s">
        <v>561</v>
      </c>
      <c r="D280" s="242" t="s">
        <v>551</v>
      </c>
      <c r="E280" s="242" t="s">
        <v>99</v>
      </c>
      <c r="F280" s="242" t="s">
        <v>99</v>
      </c>
      <c r="G280" s="243">
        <f>G281+G297</f>
        <v>4211369.87</v>
      </c>
      <c r="I280" s="231"/>
    </row>
    <row r="281" spans="1:9" ht="38.25">
      <c r="A281" s="252" t="s">
        <v>58</v>
      </c>
      <c r="B281" s="245"/>
      <c r="C281" s="245">
        <v>10</v>
      </c>
      <c r="D281" s="245" t="s">
        <v>551</v>
      </c>
      <c r="E281" s="250" t="s">
        <v>564</v>
      </c>
      <c r="F281" s="245"/>
      <c r="G281" s="243">
        <f>G282+G286</f>
        <v>4210569.87</v>
      </c>
      <c r="I281" s="231"/>
    </row>
    <row r="282" spans="1:9" ht="51">
      <c r="A282" s="253" t="s">
        <v>810</v>
      </c>
      <c r="B282" s="245"/>
      <c r="C282" s="245">
        <v>10</v>
      </c>
      <c r="D282" s="245" t="s">
        <v>551</v>
      </c>
      <c r="E282" s="250" t="s">
        <v>641</v>
      </c>
      <c r="F282" s="245"/>
      <c r="G282" s="243">
        <v>600</v>
      </c>
      <c r="I282" s="231"/>
    </row>
    <row r="283" spans="1:9" ht="38.25">
      <c r="A283" s="25" t="s">
        <v>661</v>
      </c>
      <c r="B283" s="245"/>
      <c r="C283" s="245">
        <v>10</v>
      </c>
      <c r="D283" s="245" t="s">
        <v>551</v>
      </c>
      <c r="E283" s="250" t="s">
        <v>645</v>
      </c>
      <c r="F283" s="245"/>
      <c r="G283" s="243">
        <v>600</v>
      </c>
      <c r="I283" s="231"/>
    </row>
    <row r="284" spans="1:9" ht="25.5">
      <c r="A284" s="246" t="s">
        <v>126</v>
      </c>
      <c r="B284" s="245"/>
      <c r="C284" s="245">
        <v>10</v>
      </c>
      <c r="D284" s="245" t="s">
        <v>551</v>
      </c>
      <c r="E284" s="250" t="s">
        <v>646</v>
      </c>
      <c r="F284" s="245" t="s">
        <v>99</v>
      </c>
      <c r="G284" s="243">
        <v>600</v>
      </c>
      <c r="I284" s="231"/>
    </row>
    <row r="285" spans="1:9" ht="63.75">
      <c r="A285" s="244" t="s">
        <v>104</v>
      </c>
      <c r="B285" s="245"/>
      <c r="C285" s="245">
        <v>10</v>
      </c>
      <c r="D285" s="245" t="s">
        <v>551</v>
      </c>
      <c r="E285" s="250" t="s">
        <v>646</v>
      </c>
      <c r="F285" s="245" t="s">
        <v>27</v>
      </c>
      <c r="G285" s="243">
        <v>600</v>
      </c>
      <c r="I285" s="231"/>
    </row>
    <row r="286" spans="1:9" ht="51">
      <c r="A286" s="253" t="s">
        <v>877</v>
      </c>
      <c r="B286" s="245"/>
      <c r="C286" s="245">
        <v>10</v>
      </c>
      <c r="D286" s="245" t="s">
        <v>551</v>
      </c>
      <c r="E286" s="254" t="s">
        <v>565</v>
      </c>
      <c r="F286" s="245"/>
      <c r="G286" s="243">
        <f>G287+G290+G294</f>
        <v>4209969.87</v>
      </c>
      <c r="I286" s="231"/>
    </row>
    <row r="287" spans="1:9" ht="25.5">
      <c r="A287" s="22" t="s">
        <v>906</v>
      </c>
      <c r="B287" s="245"/>
      <c r="C287" s="245">
        <v>10</v>
      </c>
      <c r="D287" s="245" t="s">
        <v>551</v>
      </c>
      <c r="E287" s="250" t="s">
        <v>566</v>
      </c>
      <c r="F287" s="245"/>
      <c r="G287" s="243">
        <v>1564</v>
      </c>
      <c r="I287" s="231"/>
    </row>
    <row r="288" spans="1:9" ht="25.5">
      <c r="A288" s="246" t="s">
        <v>126</v>
      </c>
      <c r="B288" s="245"/>
      <c r="C288" s="245">
        <v>10</v>
      </c>
      <c r="D288" s="245" t="s">
        <v>551</v>
      </c>
      <c r="E288" s="250" t="s">
        <v>632</v>
      </c>
      <c r="F288" s="245"/>
      <c r="G288" s="243">
        <v>1564</v>
      </c>
      <c r="I288" s="231"/>
    </row>
    <row r="289" spans="1:9" ht="63.75">
      <c r="A289" s="244" t="s">
        <v>104</v>
      </c>
      <c r="B289" s="245"/>
      <c r="C289" s="245">
        <v>10</v>
      </c>
      <c r="D289" s="245" t="s">
        <v>551</v>
      </c>
      <c r="E289" s="250" t="s">
        <v>632</v>
      </c>
      <c r="F289" s="245">
        <v>100</v>
      </c>
      <c r="G289" s="243">
        <v>1564</v>
      </c>
      <c r="I289" s="231"/>
    </row>
    <row r="290" spans="1:9" ht="25.5">
      <c r="A290" s="24" t="s">
        <v>907</v>
      </c>
      <c r="B290" s="245"/>
      <c r="C290" s="245">
        <v>10</v>
      </c>
      <c r="D290" s="245" t="s">
        <v>551</v>
      </c>
      <c r="E290" s="254" t="s">
        <v>141</v>
      </c>
      <c r="F290" s="245"/>
      <c r="G290" s="243">
        <f>G291</f>
        <v>4207872</v>
      </c>
      <c r="I290" s="231"/>
    </row>
    <row r="291" spans="1:9" ht="12.75">
      <c r="A291" s="244" t="s">
        <v>658</v>
      </c>
      <c r="B291" s="245"/>
      <c r="C291" s="245">
        <v>10</v>
      </c>
      <c r="D291" s="245" t="s">
        <v>551</v>
      </c>
      <c r="E291" s="250" t="s">
        <v>413</v>
      </c>
      <c r="F291" s="245"/>
      <c r="G291" s="243">
        <f>SUM(G292:G293)</f>
        <v>4207872</v>
      </c>
      <c r="I291" s="231"/>
    </row>
    <row r="292" spans="1:9" ht="25.5">
      <c r="A292" s="244" t="s">
        <v>482</v>
      </c>
      <c r="B292" s="245"/>
      <c r="C292" s="245">
        <v>10</v>
      </c>
      <c r="D292" s="245" t="s">
        <v>551</v>
      </c>
      <c r="E292" s="250" t="s">
        <v>413</v>
      </c>
      <c r="F292" s="245">
        <v>200</v>
      </c>
      <c r="G292" s="247">
        <v>16730</v>
      </c>
      <c r="I292" s="231"/>
    </row>
    <row r="293" spans="1:9" ht="25.5">
      <c r="A293" s="256" t="s">
        <v>93</v>
      </c>
      <c r="B293" s="257"/>
      <c r="C293" s="257">
        <v>10</v>
      </c>
      <c r="D293" s="257" t="s">
        <v>551</v>
      </c>
      <c r="E293" s="258" t="s">
        <v>413</v>
      </c>
      <c r="F293" s="257">
        <v>300</v>
      </c>
      <c r="G293" s="247">
        <v>4191142</v>
      </c>
      <c r="I293" s="231"/>
    </row>
    <row r="294" spans="1:9" ht="25.5">
      <c r="A294" s="22" t="s">
        <v>908</v>
      </c>
      <c r="B294" s="234"/>
      <c r="C294" s="245">
        <v>10</v>
      </c>
      <c r="D294" s="245" t="s">
        <v>551</v>
      </c>
      <c r="E294" s="265" t="s">
        <v>633</v>
      </c>
      <c r="F294" s="245"/>
      <c r="G294" s="247">
        <v>533.87</v>
      </c>
      <c r="I294" s="231"/>
    </row>
    <row r="295" spans="1:9" ht="25.5">
      <c r="A295" s="246" t="s">
        <v>126</v>
      </c>
      <c r="B295" s="234"/>
      <c r="C295" s="245">
        <v>10</v>
      </c>
      <c r="D295" s="245" t="s">
        <v>551</v>
      </c>
      <c r="E295" s="250" t="s">
        <v>214</v>
      </c>
      <c r="F295" s="609"/>
      <c r="G295" s="247">
        <v>533.87</v>
      </c>
      <c r="I295" s="231"/>
    </row>
    <row r="296" spans="1:9" ht="27.75" customHeight="1">
      <c r="A296" s="622" t="s">
        <v>102</v>
      </c>
      <c r="B296" s="234"/>
      <c r="C296" s="245">
        <v>10</v>
      </c>
      <c r="D296" s="245" t="s">
        <v>551</v>
      </c>
      <c r="E296" s="250" t="s">
        <v>214</v>
      </c>
      <c r="F296" s="609">
        <v>600</v>
      </c>
      <c r="G296" s="247">
        <v>533.87</v>
      </c>
      <c r="I296" s="231"/>
    </row>
    <row r="297" spans="1:9" ht="63.75">
      <c r="A297" s="252" t="s">
        <v>57</v>
      </c>
      <c r="B297" s="234"/>
      <c r="C297" s="245">
        <v>10</v>
      </c>
      <c r="D297" s="245" t="s">
        <v>551</v>
      </c>
      <c r="E297" s="250" t="s">
        <v>825</v>
      </c>
      <c r="F297" s="245" t="s">
        <v>99</v>
      </c>
      <c r="G297" s="247">
        <v>800</v>
      </c>
      <c r="I297" s="231"/>
    </row>
    <row r="298" spans="1:9" ht="89.25">
      <c r="A298" s="29" t="s">
        <v>455</v>
      </c>
      <c r="B298" s="234"/>
      <c r="C298" s="245">
        <v>10</v>
      </c>
      <c r="D298" s="245" t="s">
        <v>551</v>
      </c>
      <c r="E298" s="250" t="s">
        <v>826</v>
      </c>
      <c r="F298" s="245"/>
      <c r="G298" s="247">
        <v>800</v>
      </c>
      <c r="I298" s="231"/>
    </row>
    <row r="299" spans="1:9" ht="76.5">
      <c r="A299" s="22" t="s">
        <v>429</v>
      </c>
      <c r="B299" s="234"/>
      <c r="C299" s="245">
        <v>10</v>
      </c>
      <c r="D299" s="245" t="s">
        <v>551</v>
      </c>
      <c r="E299" s="250" t="s">
        <v>831</v>
      </c>
      <c r="F299" s="245"/>
      <c r="G299" s="247">
        <v>800</v>
      </c>
      <c r="I299" s="231"/>
    </row>
    <row r="300" spans="1:9" ht="25.5">
      <c r="A300" s="246" t="s">
        <v>126</v>
      </c>
      <c r="B300" s="234"/>
      <c r="C300" s="245">
        <v>10</v>
      </c>
      <c r="D300" s="245" t="s">
        <v>551</v>
      </c>
      <c r="E300" s="250" t="s">
        <v>832</v>
      </c>
      <c r="F300" s="245" t="s">
        <v>99</v>
      </c>
      <c r="G300" s="247">
        <v>800</v>
      </c>
      <c r="I300" s="231"/>
    </row>
    <row r="301" spans="1:9" ht="63.75">
      <c r="A301" s="244" t="s">
        <v>104</v>
      </c>
      <c r="B301" s="234"/>
      <c r="C301" s="245">
        <v>10</v>
      </c>
      <c r="D301" s="245" t="s">
        <v>551</v>
      </c>
      <c r="E301" s="250" t="s">
        <v>832</v>
      </c>
      <c r="F301" s="245">
        <v>100</v>
      </c>
      <c r="G301" s="247">
        <v>800</v>
      </c>
      <c r="I301" s="231"/>
    </row>
    <row r="302" spans="1:9" ht="12.75">
      <c r="A302" s="237" t="s">
        <v>412</v>
      </c>
      <c r="B302" s="238"/>
      <c r="C302" s="238" t="s">
        <v>554</v>
      </c>
      <c r="D302" s="239" t="s">
        <v>912</v>
      </c>
      <c r="E302" s="238" t="s">
        <v>99</v>
      </c>
      <c r="F302" s="238" t="s">
        <v>99</v>
      </c>
      <c r="G302" s="286">
        <f aca="true" t="shared" si="0" ref="G302:G307">G303</f>
        <v>75000</v>
      </c>
      <c r="I302" s="231"/>
    </row>
    <row r="303" spans="1:9" ht="12.75">
      <c r="A303" s="241" t="s">
        <v>314</v>
      </c>
      <c r="B303" s="242"/>
      <c r="C303" s="242" t="s">
        <v>554</v>
      </c>
      <c r="D303" s="242" t="s">
        <v>550</v>
      </c>
      <c r="E303" s="242" t="s">
        <v>99</v>
      </c>
      <c r="F303" s="242" t="s">
        <v>99</v>
      </c>
      <c r="G303" s="243">
        <f t="shared" si="0"/>
        <v>75000</v>
      </c>
      <c r="I303" s="231"/>
    </row>
    <row r="304" spans="1:9" ht="63.75">
      <c r="A304" s="252" t="s">
        <v>313</v>
      </c>
      <c r="B304" s="245"/>
      <c r="C304" s="245" t="s">
        <v>554</v>
      </c>
      <c r="D304" s="245" t="s">
        <v>550</v>
      </c>
      <c r="E304" s="250" t="s">
        <v>312</v>
      </c>
      <c r="F304" s="248" t="s">
        <v>99</v>
      </c>
      <c r="G304" s="243">
        <f t="shared" si="0"/>
        <v>75000</v>
      </c>
      <c r="I304" s="231"/>
    </row>
    <row r="305" spans="1:9" ht="76.5">
      <c r="A305" s="253" t="s">
        <v>311</v>
      </c>
      <c r="B305" s="245"/>
      <c r="C305" s="245" t="s">
        <v>554</v>
      </c>
      <c r="D305" s="245" t="s">
        <v>550</v>
      </c>
      <c r="E305" s="250" t="s">
        <v>418</v>
      </c>
      <c r="F305" s="255" t="s">
        <v>99</v>
      </c>
      <c r="G305" s="243">
        <f t="shared" si="0"/>
        <v>75000</v>
      </c>
      <c r="I305" s="231"/>
    </row>
    <row r="306" spans="1:9" ht="63.75">
      <c r="A306" s="25" t="s">
        <v>417</v>
      </c>
      <c r="B306" s="245"/>
      <c r="C306" s="245" t="s">
        <v>554</v>
      </c>
      <c r="D306" s="245" t="s">
        <v>550</v>
      </c>
      <c r="E306" s="250" t="s">
        <v>416</v>
      </c>
      <c r="F306" s="255"/>
      <c r="G306" s="243">
        <f t="shared" si="0"/>
        <v>75000</v>
      </c>
      <c r="I306" s="231"/>
    </row>
    <row r="307" spans="1:9" ht="51">
      <c r="A307" s="25" t="s">
        <v>415</v>
      </c>
      <c r="B307" s="245"/>
      <c r="C307" s="245" t="s">
        <v>554</v>
      </c>
      <c r="D307" s="245" t="s">
        <v>550</v>
      </c>
      <c r="E307" s="250" t="s">
        <v>414</v>
      </c>
      <c r="F307" s="255"/>
      <c r="G307" s="243">
        <f t="shared" si="0"/>
        <v>75000</v>
      </c>
      <c r="I307" s="231"/>
    </row>
    <row r="308" spans="1:9" ht="25.5">
      <c r="A308" s="244" t="s">
        <v>482</v>
      </c>
      <c r="B308" s="245"/>
      <c r="C308" s="245" t="s">
        <v>554</v>
      </c>
      <c r="D308" s="245" t="s">
        <v>550</v>
      </c>
      <c r="E308" s="250" t="s">
        <v>414</v>
      </c>
      <c r="F308" s="246">
        <v>200</v>
      </c>
      <c r="G308" s="247">
        <v>75000</v>
      </c>
      <c r="I308" s="231"/>
    </row>
    <row r="309" spans="1:9" ht="25.5">
      <c r="A309" s="287" t="s">
        <v>913</v>
      </c>
      <c r="B309" s="239" t="s">
        <v>660</v>
      </c>
      <c r="C309" s="288"/>
      <c r="D309" s="288"/>
      <c r="E309" s="283"/>
      <c r="F309" s="289"/>
      <c r="G309" s="273">
        <f>G310+G329+G336+G342+G377</f>
        <v>22809972</v>
      </c>
      <c r="I309" s="231"/>
    </row>
    <row r="310" spans="1:9" ht="12.75">
      <c r="A310" s="237" t="s">
        <v>28</v>
      </c>
      <c r="B310" s="238"/>
      <c r="C310" s="238" t="s">
        <v>548</v>
      </c>
      <c r="D310" s="239" t="s">
        <v>912</v>
      </c>
      <c r="E310" s="238" t="s">
        <v>99</v>
      </c>
      <c r="F310" s="238" t="s">
        <v>99</v>
      </c>
      <c r="G310" s="273">
        <f>G311+G318</f>
        <v>4989033</v>
      </c>
      <c r="I310" s="231"/>
    </row>
    <row r="311" spans="1:9" ht="38.25">
      <c r="A311" s="241" t="s">
        <v>29</v>
      </c>
      <c r="B311" s="242"/>
      <c r="C311" s="242" t="s">
        <v>548</v>
      </c>
      <c r="D311" s="242" t="s">
        <v>552</v>
      </c>
      <c r="E311" s="242" t="s">
        <v>99</v>
      </c>
      <c r="F311" s="242" t="s">
        <v>99</v>
      </c>
      <c r="G311" s="243">
        <f>G312</f>
        <v>3976733</v>
      </c>
      <c r="I311" s="231"/>
    </row>
    <row r="312" spans="1:9" ht="25.5">
      <c r="A312" s="252" t="s">
        <v>711</v>
      </c>
      <c r="B312" s="245"/>
      <c r="C312" s="245" t="s">
        <v>548</v>
      </c>
      <c r="D312" s="245" t="s">
        <v>552</v>
      </c>
      <c r="E312" s="245" t="s">
        <v>440</v>
      </c>
      <c r="F312" s="245" t="s">
        <v>99</v>
      </c>
      <c r="G312" s="243">
        <f>G313</f>
        <v>3976733</v>
      </c>
      <c r="I312" s="231"/>
    </row>
    <row r="313" spans="1:9" ht="51">
      <c r="A313" s="253" t="s">
        <v>713</v>
      </c>
      <c r="B313" s="245"/>
      <c r="C313" s="245" t="s">
        <v>548</v>
      </c>
      <c r="D313" s="245" t="s">
        <v>552</v>
      </c>
      <c r="E313" s="245" t="s">
        <v>441</v>
      </c>
      <c r="F313" s="246" t="s">
        <v>99</v>
      </c>
      <c r="G313" s="243">
        <f>G314</f>
        <v>3976733</v>
      </c>
      <c r="I313" s="231"/>
    </row>
    <row r="314" spans="1:9" ht="38.25">
      <c r="A314" s="22" t="s">
        <v>753</v>
      </c>
      <c r="B314" s="245"/>
      <c r="C314" s="245" t="s">
        <v>548</v>
      </c>
      <c r="D314" s="245" t="s">
        <v>552</v>
      </c>
      <c r="E314" s="245" t="s">
        <v>644</v>
      </c>
      <c r="F314" s="246"/>
      <c r="G314" s="243">
        <f>G315</f>
        <v>3976733</v>
      </c>
      <c r="I314" s="231"/>
    </row>
    <row r="315" spans="1:9" ht="25.5">
      <c r="A315" s="246" t="s">
        <v>514</v>
      </c>
      <c r="B315" s="245"/>
      <c r="C315" s="245" t="s">
        <v>548</v>
      </c>
      <c r="D315" s="245" t="s">
        <v>552</v>
      </c>
      <c r="E315" s="245" t="s">
        <v>442</v>
      </c>
      <c r="F315" s="245" t="s">
        <v>99</v>
      </c>
      <c r="G315" s="243">
        <f>SUM(G316:G317)</f>
        <v>3976733</v>
      </c>
      <c r="I315" s="231"/>
    </row>
    <row r="316" spans="1:9" ht="63.75">
      <c r="A316" s="244" t="s">
        <v>104</v>
      </c>
      <c r="B316" s="245"/>
      <c r="C316" s="245" t="s">
        <v>548</v>
      </c>
      <c r="D316" s="245" t="s">
        <v>552</v>
      </c>
      <c r="E316" s="245" t="s">
        <v>442</v>
      </c>
      <c r="F316" s="245">
        <v>100</v>
      </c>
      <c r="G316" s="247">
        <v>3765303</v>
      </c>
      <c r="I316" s="231"/>
    </row>
    <row r="317" spans="1:9" ht="25.5">
      <c r="A317" s="244" t="s">
        <v>482</v>
      </c>
      <c r="B317" s="245"/>
      <c r="C317" s="245" t="s">
        <v>548</v>
      </c>
      <c r="D317" s="245" t="s">
        <v>552</v>
      </c>
      <c r="E317" s="245" t="s">
        <v>442</v>
      </c>
      <c r="F317" s="245" t="s">
        <v>600</v>
      </c>
      <c r="G317" s="247">
        <v>211430</v>
      </c>
      <c r="I317" s="231"/>
    </row>
    <row r="318" spans="1:9" ht="12.75">
      <c r="A318" s="241" t="s">
        <v>470</v>
      </c>
      <c r="B318" s="242"/>
      <c r="C318" s="242" t="s">
        <v>548</v>
      </c>
      <c r="D318" s="242" t="s">
        <v>218</v>
      </c>
      <c r="E318" s="242" t="s">
        <v>99</v>
      </c>
      <c r="F318" s="242" t="s">
        <v>99</v>
      </c>
      <c r="G318" s="243">
        <f>G319</f>
        <v>1012300</v>
      </c>
      <c r="I318" s="231"/>
    </row>
    <row r="319" spans="1:9" ht="25.5">
      <c r="A319" s="252" t="s">
        <v>71</v>
      </c>
      <c r="B319" s="245"/>
      <c r="C319" s="245" t="s">
        <v>548</v>
      </c>
      <c r="D319" s="245" t="s">
        <v>218</v>
      </c>
      <c r="E319" s="245" t="s">
        <v>808</v>
      </c>
      <c r="F319" s="245" t="s">
        <v>99</v>
      </c>
      <c r="G319" s="243">
        <f>G320+G324</f>
        <v>1012300</v>
      </c>
      <c r="I319" s="231"/>
    </row>
    <row r="320" spans="1:9" ht="51">
      <c r="A320" s="253" t="s">
        <v>389</v>
      </c>
      <c r="B320" s="245"/>
      <c r="C320" s="245" t="s">
        <v>548</v>
      </c>
      <c r="D320" s="245" t="s">
        <v>218</v>
      </c>
      <c r="E320" s="254" t="s">
        <v>812</v>
      </c>
      <c r="F320" s="246" t="s">
        <v>99</v>
      </c>
      <c r="G320" s="243">
        <f>G321</f>
        <v>124300</v>
      </c>
      <c r="I320" s="231"/>
    </row>
    <row r="321" spans="1:9" ht="51">
      <c r="A321" s="27" t="s">
        <v>898</v>
      </c>
      <c r="B321" s="245"/>
      <c r="C321" s="245" t="s">
        <v>548</v>
      </c>
      <c r="D321" s="245" t="s">
        <v>218</v>
      </c>
      <c r="E321" s="254" t="s">
        <v>142</v>
      </c>
      <c r="F321" s="246"/>
      <c r="G321" s="243">
        <f>G322</f>
        <v>124300</v>
      </c>
      <c r="I321" s="231"/>
    </row>
    <row r="322" spans="1:9" ht="38.25">
      <c r="A322" s="246" t="s">
        <v>390</v>
      </c>
      <c r="B322" s="245"/>
      <c r="C322" s="245" t="s">
        <v>548</v>
      </c>
      <c r="D322" s="245" t="s">
        <v>218</v>
      </c>
      <c r="E322" s="250" t="s">
        <v>899</v>
      </c>
      <c r="F322" s="245" t="s">
        <v>99</v>
      </c>
      <c r="G322" s="243">
        <f>G323</f>
        <v>124300</v>
      </c>
      <c r="I322" s="231"/>
    </row>
    <row r="323" spans="1:9" ht="38.25">
      <c r="A323" s="244" t="s">
        <v>102</v>
      </c>
      <c r="B323" s="245"/>
      <c r="C323" s="245" t="s">
        <v>548</v>
      </c>
      <c r="D323" s="245" t="s">
        <v>218</v>
      </c>
      <c r="E323" s="250" t="s">
        <v>899</v>
      </c>
      <c r="F323" s="245" t="s">
        <v>91</v>
      </c>
      <c r="G323" s="247">
        <v>124300</v>
      </c>
      <c r="I323" s="231"/>
    </row>
    <row r="324" spans="1:9" ht="63.75">
      <c r="A324" s="253" t="s">
        <v>712</v>
      </c>
      <c r="B324" s="245"/>
      <c r="C324" s="245" t="s">
        <v>548</v>
      </c>
      <c r="D324" s="245" t="s">
        <v>218</v>
      </c>
      <c r="E324" s="245" t="s">
        <v>813</v>
      </c>
      <c r="F324" s="246" t="s">
        <v>99</v>
      </c>
      <c r="G324" s="243">
        <f>G325</f>
        <v>888000</v>
      </c>
      <c r="I324" s="231"/>
    </row>
    <row r="325" spans="1:9" ht="51">
      <c r="A325" s="244" t="s">
        <v>23</v>
      </c>
      <c r="B325" s="245"/>
      <c r="C325" s="245" t="s">
        <v>548</v>
      </c>
      <c r="D325" s="245" t="s">
        <v>218</v>
      </c>
      <c r="E325" s="245" t="s">
        <v>754</v>
      </c>
      <c r="F325" s="246"/>
      <c r="G325" s="243">
        <f>G326</f>
        <v>888000</v>
      </c>
      <c r="I325" s="231"/>
    </row>
    <row r="326" spans="1:9" ht="51">
      <c r="A326" s="246" t="s">
        <v>611</v>
      </c>
      <c r="B326" s="245"/>
      <c r="C326" s="245" t="s">
        <v>548</v>
      </c>
      <c r="D326" s="245" t="s">
        <v>218</v>
      </c>
      <c r="E326" s="250" t="s">
        <v>900</v>
      </c>
      <c r="F326" s="245"/>
      <c r="G326" s="243">
        <f>SUM(G327:G328)</f>
        <v>888000</v>
      </c>
      <c r="I326" s="231"/>
    </row>
    <row r="327" spans="1:9" ht="63.75">
      <c r="A327" s="244" t="s">
        <v>104</v>
      </c>
      <c r="B327" s="245"/>
      <c r="C327" s="245" t="s">
        <v>548</v>
      </c>
      <c r="D327" s="245" t="s">
        <v>218</v>
      </c>
      <c r="E327" s="250" t="s">
        <v>900</v>
      </c>
      <c r="F327" s="245">
        <v>100</v>
      </c>
      <c r="G327" s="247">
        <v>791834.16</v>
      </c>
      <c r="I327" s="231"/>
    </row>
    <row r="328" spans="1:9" ht="25.5">
      <c r="A328" s="244" t="s">
        <v>482</v>
      </c>
      <c r="B328" s="245"/>
      <c r="C328" s="245" t="s">
        <v>548</v>
      </c>
      <c r="D328" s="245" t="s">
        <v>218</v>
      </c>
      <c r="E328" s="250" t="s">
        <v>900</v>
      </c>
      <c r="F328" s="245" t="s">
        <v>600</v>
      </c>
      <c r="G328" s="247">
        <v>96165.84</v>
      </c>
      <c r="I328" s="231"/>
    </row>
    <row r="329" spans="1:9" ht="12.75">
      <c r="A329" s="237" t="s">
        <v>506</v>
      </c>
      <c r="B329" s="238"/>
      <c r="C329" s="238" t="s">
        <v>551</v>
      </c>
      <c r="D329" s="239" t="s">
        <v>912</v>
      </c>
      <c r="E329" s="238" t="s">
        <v>99</v>
      </c>
      <c r="F329" s="238" t="s">
        <v>99</v>
      </c>
      <c r="G329" s="240">
        <f>G330</f>
        <v>296000</v>
      </c>
      <c r="I329" s="231"/>
    </row>
    <row r="330" spans="1:9" ht="12.75">
      <c r="A330" s="241" t="s">
        <v>507</v>
      </c>
      <c r="B330" s="242"/>
      <c r="C330" s="242" t="s">
        <v>551</v>
      </c>
      <c r="D330" s="242" t="s">
        <v>548</v>
      </c>
      <c r="E330" s="242" t="s">
        <v>99</v>
      </c>
      <c r="F330" s="242" t="s">
        <v>99</v>
      </c>
      <c r="G330" s="243">
        <f>G331</f>
        <v>296000</v>
      </c>
      <c r="I330" s="231"/>
    </row>
    <row r="331" spans="1:9" ht="38.25">
      <c r="A331" s="252" t="s">
        <v>449</v>
      </c>
      <c r="B331" s="245"/>
      <c r="C331" s="245" t="s">
        <v>551</v>
      </c>
      <c r="D331" s="245" t="s">
        <v>548</v>
      </c>
      <c r="E331" s="250" t="s">
        <v>827</v>
      </c>
      <c r="F331" s="245" t="s">
        <v>99</v>
      </c>
      <c r="G331" s="243">
        <f>G332</f>
        <v>296000</v>
      </c>
      <c r="I331" s="231"/>
    </row>
    <row r="332" spans="1:9" ht="51">
      <c r="A332" s="253" t="s">
        <v>20</v>
      </c>
      <c r="B332" s="245"/>
      <c r="C332" s="245" t="s">
        <v>551</v>
      </c>
      <c r="D332" s="245" t="s">
        <v>548</v>
      </c>
      <c r="E332" s="250" t="s">
        <v>833</v>
      </c>
      <c r="F332" s="245"/>
      <c r="G332" s="243">
        <f>G333</f>
        <v>296000</v>
      </c>
      <c r="I332" s="231"/>
    </row>
    <row r="333" spans="1:9" ht="51">
      <c r="A333" s="22" t="s">
        <v>903</v>
      </c>
      <c r="B333" s="245"/>
      <c r="C333" s="245" t="s">
        <v>551</v>
      </c>
      <c r="D333" s="245" t="s">
        <v>548</v>
      </c>
      <c r="E333" s="250" t="s">
        <v>834</v>
      </c>
      <c r="F333" s="245"/>
      <c r="G333" s="243">
        <f>G334</f>
        <v>296000</v>
      </c>
      <c r="I333" s="231"/>
    </row>
    <row r="334" spans="1:9" ht="25.5">
      <c r="A334" s="246" t="s">
        <v>469</v>
      </c>
      <c r="B334" s="245"/>
      <c r="C334" s="245" t="s">
        <v>551</v>
      </c>
      <c r="D334" s="245" t="s">
        <v>548</v>
      </c>
      <c r="E334" s="250" t="s">
        <v>835</v>
      </c>
      <c r="F334" s="248" t="s">
        <v>99</v>
      </c>
      <c r="G334" s="243">
        <f>SUM(G335:G335)</f>
        <v>296000</v>
      </c>
      <c r="I334" s="231"/>
    </row>
    <row r="335" spans="1:9" ht="63.75">
      <c r="A335" s="244" t="s">
        <v>104</v>
      </c>
      <c r="B335" s="245"/>
      <c r="C335" s="245" t="s">
        <v>551</v>
      </c>
      <c r="D335" s="245" t="s">
        <v>548</v>
      </c>
      <c r="E335" s="250" t="s">
        <v>835</v>
      </c>
      <c r="F335" s="245">
        <v>100</v>
      </c>
      <c r="G335" s="247">
        <v>296000</v>
      </c>
      <c r="I335" s="231"/>
    </row>
    <row r="336" spans="1:9" ht="12.75">
      <c r="A336" s="237" t="s">
        <v>568</v>
      </c>
      <c r="B336" s="238"/>
      <c r="C336" s="238" t="s">
        <v>768</v>
      </c>
      <c r="D336" s="239" t="s">
        <v>912</v>
      </c>
      <c r="E336" s="238" t="s">
        <v>99</v>
      </c>
      <c r="F336" s="238" t="s">
        <v>99</v>
      </c>
      <c r="G336" s="273">
        <f>G337</f>
        <v>1315736</v>
      </c>
      <c r="I336" s="231"/>
    </row>
    <row r="337" spans="1:9" ht="12.75">
      <c r="A337" s="241" t="s">
        <v>571</v>
      </c>
      <c r="B337" s="242"/>
      <c r="C337" s="242" t="s">
        <v>768</v>
      </c>
      <c r="D337" s="242" t="s">
        <v>220</v>
      </c>
      <c r="E337" s="242" t="s">
        <v>99</v>
      </c>
      <c r="F337" s="242" t="s">
        <v>99</v>
      </c>
      <c r="G337" s="243">
        <f>G338</f>
        <v>1315736</v>
      </c>
      <c r="I337" s="231"/>
    </row>
    <row r="338" spans="1:9" ht="38.25">
      <c r="A338" s="246" t="s">
        <v>394</v>
      </c>
      <c r="B338" s="245"/>
      <c r="C338" s="245" t="s">
        <v>768</v>
      </c>
      <c r="D338" s="245" t="s">
        <v>220</v>
      </c>
      <c r="E338" s="250" t="s">
        <v>398</v>
      </c>
      <c r="F338" s="245"/>
      <c r="G338" s="243">
        <f>G339</f>
        <v>1315736</v>
      </c>
      <c r="I338" s="231"/>
    </row>
    <row r="339" spans="1:9" ht="25.5">
      <c r="A339" s="246" t="s">
        <v>514</v>
      </c>
      <c r="B339" s="245"/>
      <c r="C339" s="245" t="s">
        <v>768</v>
      </c>
      <c r="D339" s="245" t="s">
        <v>220</v>
      </c>
      <c r="E339" s="250" t="s">
        <v>399</v>
      </c>
      <c r="F339" s="245"/>
      <c r="G339" s="243">
        <f>SUM(G340:G341)</f>
        <v>1315736</v>
      </c>
      <c r="I339" s="231"/>
    </row>
    <row r="340" spans="1:9" ht="63.75">
      <c r="A340" s="244" t="s">
        <v>104</v>
      </c>
      <c r="B340" s="245"/>
      <c r="C340" s="245" t="s">
        <v>768</v>
      </c>
      <c r="D340" s="245" t="s">
        <v>220</v>
      </c>
      <c r="E340" s="250" t="s">
        <v>399</v>
      </c>
      <c r="F340" s="245" t="s">
        <v>27</v>
      </c>
      <c r="G340" s="247">
        <v>1103899</v>
      </c>
      <c r="I340" s="231"/>
    </row>
    <row r="341" spans="1:9" ht="25.5">
      <c r="A341" s="244" t="s">
        <v>482</v>
      </c>
      <c r="B341" s="245"/>
      <c r="C341" s="245" t="s">
        <v>768</v>
      </c>
      <c r="D341" s="245" t="s">
        <v>220</v>
      </c>
      <c r="E341" s="250" t="s">
        <v>399</v>
      </c>
      <c r="F341" s="245" t="s">
        <v>600</v>
      </c>
      <c r="G341" s="247">
        <v>211837</v>
      </c>
      <c r="I341" s="231"/>
    </row>
    <row r="342" spans="1:9" ht="12.75">
      <c r="A342" s="237" t="s">
        <v>573</v>
      </c>
      <c r="B342" s="238"/>
      <c r="C342" s="238" t="s">
        <v>561</v>
      </c>
      <c r="D342" s="239" t="s">
        <v>912</v>
      </c>
      <c r="E342" s="238" t="s">
        <v>99</v>
      </c>
      <c r="F342" s="238" t="s">
        <v>99</v>
      </c>
      <c r="G342" s="273">
        <f>G343+G361+G370</f>
        <v>16165203</v>
      </c>
      <c r="I342" s="231"/>
    </row>
    <row r="343" spans="1:9" ht="12.75">
      <c r="A343" s="241" t="s">
        <v>574</v>
      </c>
      <c r="B343" s="242"/>
      <c r="C343" s="242" t="s">
        <v>561</v>
      </c>
      <c r="D343" s="242" t="s">
        <v>219</v>
      </c>
      <c r="E343" s="242" t="s">
        <v>99</v>
      </c>
      <c r="F343" s="242" t="s">
        <v>99</v>
      </c>
      <c r="G343" s="243">
        <f>G344</f>
        <v>8533440</v>
      </c>
      <c r="I343" s="231"/>
    </row>
    <row r="344" spans="1:9" ht="25.5">
      <c r="A344" s="252" t="s">
        <v>185</v>
      </c>
      <c r="B344" s="245"/>
      <c r="C344" s="245" t="s">
        <v>561</v>
      </c>
      <c r="D344" s="245" t="s">
        <v>219</v>
      </c>
      <c r="E344" s="250" t="s">
        <v>808</v>
      </c>
      <c r="F344" s="245" t="s">
        <v>99</v>
      </c>
      <c r="G344" s="243">
        <f>G345</f>
        <v>8533440</v>
      </c>
      <c r="I344" s="231"/>
    </row>
    <row r="345" spans="1:9" ht="51">
      <c r="A345" s="253" t="s">
        <v>186</v>
      </c>
      <c r="B345" s="245"/>
      <c r="C345" s="245" t="s">
        <v>561</v>
      </c>
      <c r="D345" s="245" t="s">
        <v>219</v>
      </c>
      <c r="E345" s="254" t="s">
        <v>668</v>
      </c>
      <c r="F345" s="246" t="s">
        <v>99</v>
      </c>
      <c r="G345" s="243">
        <f>G346+G353+G357</f>
        <v>8533440</v>
      </c>
      <c r="I345" s="231"/>
    </row>
    <row r="346" spans="1:9" ht="25.5">
      <c r="A346" s="23" t="s">
        <v>401</v>
      </c>
      <c r="B346" s="245"/>
      <c r="C346" s="245" t="s">
        <v>561</v>
      </c>
      <c r="D346" s="245" t="s">
        <v>219</v>
      </c>
      <c r="E346" s="264" t="s">
        <v>136</v>
      </c>
      <c r="F346" s="245"/>
      <c r="G346" s="243">
        <f>G347+G350</f>
        <v>7994472</v>
      </c>
      <c r="I346" s="231"/>
    </row>
    <row r="347" spans="1:9" ht="25.5">
      <c r="A347" s="246" t="s">
        <v>24</v>
      </c>
      <c r="B347" s="245"/>
      <c r="C347" s="245" t="s">
        <v>561</v>
      </c>
      <c r="D347" s="245" t="s">
        <v>219</v>
      </c>
      <c r="E347" s="250" t="s">
        <v>402</v>
      </c>
      <c r="F347" s="245" t="s">
        <v>99</v>
      </c>
      <c r="G347" s="243">
        <f>SUM(G348:G349)</f>
        <v>7016472</v>
      </c>
      <c r="I347" s="231"/>
    </row>
    <row r="348" spans="1:9" ht="25.5">
      <c r="A348" s="244" t="s">
        <v>482</v>
      </c>
      <c r="B348" s="245"/>
      <c r="C348" s="245" t="s">
        <v>561</v>
      </c>
      <c r="D348" s="245" t="s">
        <v>219</v>
      </c>
      <c r="E348" s="250" t="s">
        <v>402</v>
      </c>
      <c r="F348" s="245">
        <v>200</v>
      </c>
      <c r="G348" s="247">
        <v>108000</v>
      </c>
      <c r="I348" s="231"/>
    </row>
    <row r="349" spans="1:9" ht="25.5">
      <c r="A349" s="244" t="s">
        <v>93</v>
      </c>
      <c r="B349" s="245"/>
      <c r="C349" s="245" t="s">
        <v>561</v>
      </c>
      <c r="D349" s="245" t="s">
        <v>219</v>
      </c>
      <c r="E349" s="250" t="s">
        <v>402</v>
      </c>
      <c r="F349" s="245">
        <v>300</v>
      </c>
      <c r="G349" s="247">
        <v>6908472</v>
      </c>
      <c r="I349" s="231"/>
    </row>
    <row r="350" spans="1:9" ht="25.5">
      <c r="A350" s="246" t="s">
        <v>25</v>
      </c>
      <c r="B350" s="245"/>
      <c r="C350" s="245" t="s">
        <v>561</v>
      </c>
      <c r="D350" s="245" t="s">
        <v>219</v>
      </c>
      <c r="E350" s="250" t="s">
        <v>403</v>
      </c>
      <c r="F350" s="245" t="s">
        <v>99</v>
      </c>
      <c r="G350" s="243">
        <f>SUM(G351:G352)</f>
        <v>978000</v>
      </c>
      <c r="I350" s="231"/>
    </row>
    <row r="351" spans="1:9" ht="25.5">
      <c r="A351" s="244" t="s">
        <v>482</v>
      </c>
      <c r="B351" s="245"/>
      <c r="C351" s="245" t="s">
        <v>561</v>
      </c>
      <c r="D351" s="245" t="s">
        <v>219</v>
      </c>
      <c r="E351" s="250" t="s">
        <v>403</v>
      </c>
      <c r="F351" s="245">
        <v>200</v>
      </c>
      <c r="G351" s="247">
        <v>19000</v>
      </c>
      <c r="I351" s="231"/>
    </row>
    <row r="352" spans="1:9" ht="25.5">
      <c r="A352" s="244" t="s">
        <v>93</v>
      </c>
      <c r="B352" s="245"/>
      <c r="C352" s="245" t="s">
        <v>561</v>
      </c>
      <c r="D352" s="245" t="s">
        <v>219</v>
      </c>
      <c r="E352" s="250" t="s">
        <v>403</v>
      </c>
      <c r="F352" s="245" t="s">
        <v>92</v>
      </c>
      <c r="G352" s="247">
        <v>959000</v>
      </c>
      <c r="I352" s="231"/>
    </row>
    <row r="353" spans="1:9" ht="25.5">
      <c r="A353" s="22" t="s">
        <v>133</v>
      </c>
      <c r="B353" s="242"/>
      <c r="C353" s="242" t="s">
        <v>561</v>
      </c>
      <c r="D353" s="242" t="s">
        <v>219</v>
      </c>
      <c r="E353" s="264" t="s">
        <v>137</v>
      </c>
      <c r="F353" s="242"/>
      <c r="G353" s="243">
        <f>G354</f>
        <v>140297</v>
      </c>
      <c r="I353" s="231"/>
    </row>
    <row r="354" spans="1:9" ht="38.25">
      <c r="A354" s="246" t="s">
        <v>518</v>
      </c>
      <c r="B354" s="245"/>
      <c r="C354" s="245" t="s">
        <v>561</v>
      </c>
      <c r="D354" s="245" t="s">
        <v>219</v>
      </c>
      <c r="E354" s="250" t="s">
        <v>138</v>
      </c>
      <c r="F354" s="245" t="s">
        <v>99</v>
      </c>
      <c r="G354" s="243">
        <f>SUM(G355:G356)</f>
        <v>140297</v>
      </c>
      <c r="I354" s="231"/>
    </row>
    <row r="355" spans="1:9" ht="25.5">
      <c r="A355" s="244" t="s">
        <v>482</v>
      </c>
      <c r="B355" s="245"/>
      <c r="C355" s="245" t="s">
        <v>561</v>
      </c>
      <c r="D355" s="245" t="s">
        <v>219</v>
      </c>
      <c r="E355" s="250" t="s">
        <v>138</v>
      </c>
      <c r="F355" s="245">
        <v>200</v>
      </c>
      <c r="G355" s="243">
        <v>2460.98</v>
      </c>
      <c r="I355" s="231"/>
    </row>
    <row r="356" spans="1:9" ht="25.5">
      <c r="A356" s="244" t="s">
        <v>93</v>
      </c>
      <c r="B356" s="245"/>
      <c r="C356" s="245" t="s">
        <v>561</v>
      </c>
      <c r="D356" s="245" t="s">
        <v>219</v>
      </c>
      <c r="E356" s="250" t="s">
        <v>138</v>
      </c>
      <c r="F356" s="245" t="s">
        <v>92</v>
      </c>
      <c r="G356" s="247">
        <v>137836.02</v>
      </c>
      <c r="I356" s="231"/>
    </row>
    <row r="357" spans="1:9" ht="38.25">
      <c r="A357" s="27" t="s">
        <v>404</v>
      </c>
      <c r="B357" s="242"/>
      <c r="C357" s="242" t="s">
        <v>561</v>
      </c>
      <c r="D357" s="242" t="s">
        <v>219</v>
      </c>
      <c r="E357" s="254" t="s">
        <v>139</v>
      </c>
      <c r="F357" s="242"/>
      <c r="G357" s="243">
        <f>G358</f>
        <v>398671</v>
      </c>
      <c r="I357" s="231"/>
    </row>
    <row r="358" spans="1:9" ht="38.25">
      <c r="A358" s="246" t="s">
        <v>124</v>
      </c>
      <c r="B358" s="245"/>
      <c r="C358" s="245" t="s">
        <v>561</v>
      </c>
      <c r="D358" s="245" t="s">
        <v>219</v>
      </c>
      <c r="E358" s="250" t="s">
        <v>140</v>
      </c>
      <c r="F358" s="245" t="s">
        <v>99</v>
      </c>
      <c r="G358" s="243">
        <f>SUM(G359:G360)</f>
        <v>398671</v>
      </c>
      <c r="I358" s="231"/>
    </row>
    <row r="359" spans="1:9" ht="25.5">
      <c r="A359" s="244" t="s">
        <v>482</v>
      </c>
      <c r="B359" s="245"/>
      <c r="C359" s="245" t="s">
        <v>561</v>
      </c>
      <c r="D359" s="245" t="s">
        <v>219</v>
      </c>
      <c r="E359" s="250" t="s">
        <v>140</v>
      </c>
      <c r="F359" s="245">
        <v>200</v>
      </c>
      <c r="G359" s="247">
        <v>2500</v>
      </c>
      <c r="I359" s="231"/>
    </row>
    <row r="360" spans="1:9" ht="25.5">
      <c r="A360" s="244" t="s">
        <v>93</v>
      </c>
      <c r="B360" s="245"/>
      <c r="C360" s="245" t="s">
        <v>561</v>
      </c>
      <c r="D360" s="245" t="s">
        <v>219</v>
      </c>
      <c r="E360" s="250" t="s">
        <v>140</v>
      </c>
      <c r="F360" s="245">
        <v>300</v>
      </c>
      <c r="G360" s="247">
        <v>396171</v>
      </c>
      <c r="I360" s="231"/>
    </row>
    <row r="361" spans="1:9" ht="12.75">
      <c r="A361" s="241" t="s">
        <v>575</v>
      </c>
      <c r="B361" s="242"/>
      <c r="C361" s="242" t="s">
        <v>561</v>
      </c>
      <c r="D361" s="242" t="s">
        <v>551</v>
      </c>
      <c r="E361" s="242" t="s">
        <v>99</v>
      </c>
      <c r="F361" s="242" t="s">
        <v>99</v>
      </c>
      <c r="G361" s="243">
        <f>G362</f>
        <v>5559763</v>
      </c>
      <c r="I361" s="231"/>
    </row>
    <row r="362" spans="1:9" ht="25.5">
      <c r="A362" s="252" t="s">
        <v>185</v>
      </c>
      <c r="B362" s="245"/>
      <c r="C362" s="245" t="s">
        <v>561</v>
      </c>
      <c r="D362" s="245" t="s">
        <v>551</v>
      </c>
      <c r="E362" s="250" t="s">
        <v>808</v>
      </c>
      <c r="F362" s="245"/>
      <c r="G362" s="243">
        <f>G363</f>
        <v>5559763</v>
      </c>
      <c r="I362" s="231"/>
    </row>
    <row r="363" spans="1:9" ht="63.75">
      <c r="A363" s="253" t="s">
        <v>871</v>
      </c>
      <c r="B363" s="245"/>
      <c r="C363" s="245" t="s">
        <v>561</v>
      </c>
      <c r="D363" s="245" t="s">
        <v>551</v>
      </c>
      <c r="E363" s="254" t="s">
        <v>813</v>
      </c>
      <c r="F363" s="246" t="s">
        <v>99</v>
      </c>
      <c r="G363" s="243">
        <f>G364+G367</f>
        <v>5559763</v>
      </c>
      <c r="I363" s="231"/>
    </row>
    <row r="364" spans="1:9" ht="38.25">
      <c r="A364" s="23" t="s">
        <v>77</v>
      </c>
      <c r="B364" s="245"/>
      <c r="C364" s="245" t="s">
        <v>561</v>
      </c>
      <c r="D364" s="245" t="s">
        <v>551</v>
      </c>
      <c r="E364" s="245" t="s">
        <v>134</v>
      </c>
      <c r="F364" s="245"/>
      <c r="G364" s="243">
        <f>G365</f>
        <v>1275422</v>
      </c>
      <c r="I364" s="231"/>
    </row>
    <row r="365" spans="1:9" ht="12.75">
      <c r="A365" s="22" t="s">
        <v>562</v>
      </c>
      <c r="B365" s="245"/>
      <c r="C365" s="245" t="s">
        <v>561</v>
      </c>
      <c r="D365" s="245" t="s">
        <v>551</v>
      </c>
      <c r="E365" s="250" t="s">
        <v>78</v>
      </c>
      <c r="F365" s="245"/>
      <c r="G365" s="243">
        <f>G366</f>
        <v>1275422</v>
      </c>
      <c r="I365" s="231"/>
    </row>
    <row r="366" spans="1:9" ht="17.25" customHeight="1">
      <c r="A366" s="244" t="s">
        <v>93</v>
      </c>
      <c r="B366" s="245"/>
      <c r="C366" s="245" t="s">
        <v>561</v>
      </c>
      <c r="D366" s="245" t="s">
        <v>551</v>
      </c>
      <c r="E366" s="250" t="s">
        <v>78</v>
      </c>
      <c r="F366" s="245">
        <v>300</v>
      </c>
      <c r="G366" s="247">
        <v>1275422</v>
      </c>
      <c r="I366" s="231"/>
    </row>
    <row r="367" spans="1:9" ht="51">
      <c r="A367" s="23" t="s">
        <v>135</v>
      </c>
      <c r="B367" s="245"/>
      <c r="C367" s="245" t="s">
        <v>561</v>
      </c>
      <c r="D367" s="245" t="s">
        <v>551</v>
      </c>
      <c r="E367" s="254" t="s">
        <v>79</v>
      </c>
      <c r="F367" s="246"/>
      <c r="G367" s="243">
        <f>G368</f>
        <v>4284341</v>
      </c>
      <c r="I367" s="231"/>
    </row>
    <row r="368" spans="1:9" ht="38.25">
      <c r="A368" s="246" t="s">
        <v>26</v>
      </c>
      <c r="B368" s="245"/>
      <c r="C368" s="245" t="s">
        <v>561</v>
      </c>
      <c r="D368" s="245" t="s">
        <v>551</v>
      </c>
      <c r="E368" s="250" t="s">
        <v>80</v>
      </c>
      <c r="F368" s="245" t="s">
        <v>99</v>
      </c>
      <c r="G368" s="243">
        <f>SUM(G369:G369)</f>
        <v>4284341</v>
      </c>
      <c r="I368" s="231"/>
    </row>
    <row r="369" spans="1:9" ht="25.5">
      <c r="A369" s="244" t="s">
        <v>93</v>
      </c>
      <c r="B369" s="245"/>
      <c r="C369" s="245" t="s">
        <v>561</v>
      </c>
      <c r="D369" s="245" t="s">
        <v>551</v>
      </c>
      <c r="E369" s="250" t="s">
        <v>80</v>
      </c>
      <c r="F369" s="245">
        <v>300</v>
      </c>
      <c r="G369" s="247">
        <v>4284341</v>
      </c>
      <c r="I369" s="231"/>
    </row>
    <row r="370" spans="1:9" ht="12.75">
      <c r="A370" s="241" t="s">
        <v>741</v>
      </c>
      <c r="B370" s="242"/>
      <c r="C370" s="242" t="s">
        <v>561</v>
      </c>
      <c r="D370" s="242" t="s">
        <v>552</v>
      </c>
      <c r="E370" s="242" t="s">
        <v>99</v>
      </c>
      <c r="F370" s="242" t="s">
        <v>99</v>
      </c>
      <c r="G370" s="243">
        <f>G371</f>
        <v>2072000</v>
      </c>
      <c r="I370" s="231"/>
    </row>
    <row r="371" spans="1:9" ht="25.5">
      <c r="A371" s="252" t="s">
        <v>185</v>
      </c>
      <c r="B371" s="245"/>
      <c r="C371" s="245" t="s">
        <v>561</v>
      </c>
      <c r="D371" s="245" t="s">
        <v>552</v>
      </c>
      <c r="E371" s="250" t="s">
        <v>808</v>
      </c>
      <c r="F371" s="245" t="s">
        <v>99</v>
      </c>
      <c r="G371" s="243">
        <f>G372</f>
        <v>2072000</v>
      </c>
      <c r="I371" s="231"/>
    </row>
    <row r="372" spans="1:9" ht="51">
      <c r="A372" s="253" t="s">
        <v>261</v>
      </c>
      <c r="B372" s="245"/>
      <c r="C372" s="245" t="s">
        <v>561</v>
      </c>
      <c r="D372" s="245" t="s">
        <v>552</v>
      </c>
      <c r="E372" s="254" t="s">
        <v>812</v>
      </c>
      <c r="F372" s="246" t="s">
        <v>99</v>
      </c>
      <c r="G372" s="243">
        <f>G373</f>
        <v>2072000</v>
      </c>
      <c r="I372" s="231"/>
    </row>
    <row r="373" spans="1:9" ht="51">
      <c r="A373" s="24" t="s">
        <v>81</v>
      </c>
      <c r="B373" s="245"/>
      <c r="C373" s="245" t="s">
        <v>561</v>
      </c>
      <c r="D373" s="245" t="s">
        <v>552</v>
      </c>
      <c r="E373" s="254" t="s">
        <v>82</v>
      </c>
      <c r="F373" s="246"/>
      <c r="G373" s="243">
        <f>G374</f>
        <v>2072000</v>
      </c>
      <c r="I373" s="231"/>
    </row>
    <row r="374" spans="1:9" ht="38.25">
      <c r="A374" s="246" t="s">
        <v>271</v>
      </c>
      <c r="B374" s="245"/>
      <c r="C374" s="245" t="s">
        <v>561</v>
      </c>
      <c r="D374" s="245" t="s">
        <v>552</v>
      </c>
      <c r="E374" s="254" t="s">
        <v>83</v>
      </c>
      <c r="F374" s="245" t="s">
        <v>99</v>
      </c>
      <c r="G374" s="243">
        <f>SUM(G375:G376)</f>
        <v>2072000</v>
      </c>
      <c r="I374" s="231"/>
    </row>
    <row r="375" spans="1:9" ht="63.75">
      <c r="A375" s="244" t="s">
        <v>104</v>
      </c>
      <c r="B375" s="245"/>
      <c r="C375" s="245" t="s">
        <v>561</v>
      </c>
      <c r="D375" s="245" t="s">
        <v>552</v>
      </c>
      <c r="E375" s="254" t="s">
        <v>83</v>
      </c>
      <c r="F375" s="245">
        <v>100</v>
      </c>
      <c r="G375" s="247">
        <v>1914082.48</v>
      </c>
      <c r="I375" s="231"/>
    </row>
    <row r="376" spans="1:9" ht="25.5">
      <c r="A376" s="244" t="s">
        <v>482</v>
      </c>
      <c r="B376" s="245"/>
      <c r="C376" s="245" t="s">
        <v>561</v>
      </c>
      <c r="D376" s="245" t="s">
        <v>552</v>
      </c>
      <c r="E376" s="254" t="s">
        <v>83</v>
      </c>
      <c r="F376" s="246">
        <v>200</v>
      </c>
      <c r="G376" s="247">
        <v>157917.52</v>
      </c>
      <c r="I376" s="231"/>
    </row>
    <row r="377" spans="1:9" ht="25.5">
      <c r="A377" s="237" t="s">
        <v>601</v>
      </c>
      <c r="B377" s="238"/>
      <c r="C377" s="238" t="s">
        <v>218</v>
      </c>
      <c r="D377" s="239" t="s">
        <v>912</v>
      </c>
      <c r="E377" s="238" t="s">
        <v>99</v>
      </c>
      <c r="F377" s="238" t="s">
        <v>99</v>
      </c>
      <c r="G377" s="273">
        <f aca="true" t="shared" si="1" ref="G377:G382">G378</f>
        <v>44000</v>
      </c>
      <c r="I377" s="231"/>
    </row>
    <row r="378" spans="1:9" ht="25.5">
      <c r="A378" s="241" t="s">
        <v>602</v>
      </c>
      <c r="B378" s="242"/>
      <c r="C378" s="242" t="s">
        <v>218</v>
      </c>
      <c r="D378" s="242" t="s">
        <v>548</v>
      </c>
      <c r="E378" s="260" t="s">
        <v>99</v>
      </c>
      <c r="F378" s="260" t="s">
        <v>99</v>
      </c>
      <c r="G378" s="243">
        <f t="shared" si="1"/>
        <v>44000</v>
      </c>
      <c r="I378" s="231"/>
    </row>
    <row r="379" spans="1:9" ht="25.5">
      <c r="A379" s="252" t="s">
        <v>711</v>
      </c>
      <c r="B379" s="245"/>
      <c r="C379" s="245" t="s">
        <v>218</v>
      </c>
      <c r="D379" s="245" t="s">
        <v>548</v>
      </c>
      <c r="E379" s="250" t="s">
        <v>440</v>
      </c>
      <c r="F379" s="248" t="s">
        <v>99</v>
      </c>
      <c r="G379" s="243">
        <f t="shared" si="1"/>
        <v>44000</v>
      </c>
      <c r="I379" s="231"/>
    </row>
    <row r="380" spans="1:9" ht="51">
      <c r="A380" s="253" t="s">
        <v>217</v>
      </c>
      <c r="B380" s="245"/>
      <c r="C380" s="245" t="s">
        <v>218</v>
      </c>
      <c r="D380" s="245" t="s">
        <v>548</v>
      </c>
      <c r="E380" s="250" t="s">
        <v>670</v>
      </c>
      <c r="F380" s="255" t="s">
        <v>99</v>
      </c>
      <c r="G380" s="243">
        <f t="shared" si="1"/>
        <v>44000</v>
      </c>
      <c r="I380" s="231"/>
    </row>
    <row r="381" spans="1:9" ht="51">
      <c r="A381" s="22" t="s">
        <v>669</v>
      </c>
      <c r="B381" s="245"/>
      <c r="C381" s="245" t="s">
        <v>218</v>
      </c>
      <c r="D381" s="245" t="s">
        <v>548</v>
      </c>
      <c r="E381" s="250" t="s">
        <v>671</v>
      </c>
      <c r="F381" s="255"/>
      <c r="G381" s="243">
        <f t="shared" si="1"/>
        <v>44000</v>
      </c>
      <c r="I381" s="231"/>
    </row>
    <row r="382" spans="1:9" ht="12.75">
      <c r="A382" s="25" t="s">
        <v>672</v>
      </c>
      <c r="B382" s="245"/>
      <c r="C382" s="245" t="s">
        <v>218</v>
      </c>
      <c r="D382" s="245" t="s">
        <v>548</v>
      </c>
      <c r="E382" s="250" t="s">
        <v>673</v>
      </c>
      <c r="F382" s="248" t="s">
        <v>99</v>
      </c>
      <c r="G382" s="243">
        <f t="shared" si="1"/>
        <v>44000</v>
      </c>
      <c r="I382" s="231"/>
    </row>
    <row r="383" spans="1:9" ht="25.5">
      <c r="A383" s="256" t="s">
        <v>125</v>
      </c>
      <c r="B383" s="257"/>
      <c r="C383" s="257" t="s">
        <v>218</v>
      </c>
      <c r="D383" s="257" t="s">
        <v>548</v>
      </c>
      <c r="E383" s="258" t="s">
        <v>673</v>
      </c>
      <c r="F383" s="257" t="s">
        <v>94</v>
      </c>
      <c r="G383" s="261">
        <v>44000</v>
      </c>
      <c r="I383" s="231"/>
    </row>
    <row r="384" spans="1:9" ht="12.75">
      <c r="A384" s="290" t="s">
        <v>158</v>
      </c>
      <c r="B384" s="291" t="s">
        <v>157</v>
      </c>
      <c r="C384" s="292"/>
      <c r="D384" s="292"/>
      <c r="E384" s="293"/>
      <c r="F384" s="294"/>
      <c r="G384" s="295">
        <f>G385</f>
        <v>927689</v>
      </c>
      <c r="I384" s="231"/>
    </row>
    <row r="385" spans="1:9" ht="25.5">
      <c r="A385" s="296" t="s">
        <v>192</v>
      </c>
      <c r="B385" s="297"/>
      <c r="C385" s="297" t="s">
        <v>548</v>
      </c>
      <c r="D385" s="297" t="s">
        <v>552</v>
      </c>
      <c r="E385" s="298" t="s">
        <v>443</v>
      </c>
      <c r="F385" s="299" t="s">
        <v>99</v>
      </c>
      <c r="G385" s="300">
        <f>G386+G389</f>
        <v>927689</v>
      </c>
      <c r="I385" s="231"/>
    </row>
    <row r="386" spans="1:9" ht="25.5">
      <c r="A386" s="253" t="s">
        <v>193</v>
      </c>
      <c r="B386" s="245"/>
      <c r="C386" s="245" t="s">
        <v>548</v>
      </c>
      <c r="D386" s="245" t="s">
        <v>552</v>
      </c>
      <c r="E386" s="254" t="s">
        <v>444</v>
      </c>
      <c r="F386" s="245" t="s">
        <v>99</v>
      </c>
      <c r="G386" s="243">
        <f>G387</f>
        <v>591433.54</v>
      </c>
      <c r="I386" s="231"/>
    </row>
    <row r="387" spans="1:9" ht="25.5">
      <c r="A387" s="246" t="s">
        <v>514</v>
      </c>
      <c r="B387" s="245"/>
      <c r="C387" s="245" t="s">
        <v>548</v>
      </c>
      <c r="D387" s="245" t="s">
        <v>552</v>
      </c>
      <c r="E387" s="250" t="s">
        <v>445</v>
      </c>
      <c r="F387" s="245"/>
      <c r="G387" s="243">
        <f>SUM(G388:G388)</f>
        <v>591433.54</v>
      </c>
      <c r="I387" s="231"/>
    </row>
    <row r="388" spans="1:9" ht="63.75">
      <c r="A388" s="244" t="s">
        <v>104</v>
      </c>
      <c r="B388" s="245"/>
      <c r="C388" s="245" t="s">
        <v>548</v>
      </c>
      <c r="D388" s="245" t="s">
        <v>552</v>
      </c>
      <c r="E388" s="250" t="s">
        <v>445</v>
      </c>
      <c r="F388" s="245">
        <v>100</v>
      </c>
      <c r="G388" s="243">
        <v>591433.54</v>
      </c>
      <c r="I388" s="231"/>
    </row>
    <row r="389" spans="1:9" ht="25.5">
      <c r="A389" s="244" t="s">
        <v>847</v>
      </c>
      <c r="B389" s="245"/>
      <c r="C389" s="245" t="s">
        <v>548</v>
      </c>
      <c r="D389" s="245" t="s">
        <v>552</v>
      </c>
      <c r="E389" s="254" t="s">
        <v>846</v>
      </c>
      <c r="F389" s="245"/>
      <c r="G389" s="243">
        <f>G390</f>
        <v>336255.46</v>
      </c>
      <c r="I389" s="231"/>
    </row>
    <row r="390" spans="1:9" ht="25.5">
      <c r="A390" s="246" t="s">
        <v>514</v>
      </c>
      <c r="B390" s="245"/>
      <c r="C390" s="245" t="s">
        <v>548</v>
      </c>
      <c r="D390" s="245" t="s">
        <v>552</v>
      </c>
      <c r="E390" s="250" t="s">
        <v>845</v>
      </c>
      <c r="F390" s="245"/>
      <c r="G390" s="243">
        <f>SUM(G391:G392)</f>
        <v>336255.46</v>
      </c>
      <c r="I390" s="231"/>
    </row>
    <row r="391" spans="1:9" ht="63.75">
      <c r="A391" s="244" t="s">
        <v>104</v>
      </c>
      <c r="B391" s="245"/>
      <c r="C391" s="245" t="s">
        <v>548</v>
      </c>
      <c r="D391" s="245" t="s">
        <v>552</v>
      </c>
      <c r="E391" s="250" t="s">
        <v>845</v>
      </c>
      <c r="F391" s="245">
        <v>100</v>
      </c>
      <c r="G391" s="247">
        <v>325255.46</v>
      </c>
      <c r="I391" s="231"/>
    </row>
    <row r="392" spans="1:9" ht="25.5">
      <c r="A392" s="301" t="s">
        <v>482</v>
      </c>
      <c r="B392" s="302"/>
      <c r="C392" s="302" t="s">
        <v>548</v>
      </c>
      <c r="D392" s="302" t="s">
        <v>552</v>
      </c>
      <c r="E392" s="303" t="s">
        <v>845</v>
      </c>
      <c r="F392" s="302">
        <v>200</v>
      </c>
      <c r="G392" s="304">
        <v>11000</v>
      </c>
      <c r="I392" s="231"/>
    </row>
  </sheetData>
  <sheetProtection/>
  <printOptions/>
  <pageMargins left="0.7874015748031497" right="0.32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322"/>
  <sheetViews>
    <sheetView showGridLines="0" zoomScaleSheetLayoutView="100" workbookViewId="0" topLeftCell="A1">
      <selection activeCell="E324" sqref="E324"/>
    </sheetView>
  </sheetViews>
  <sheetFormatPr defaultColWidth="9.140625" defaultRowHeight="12.75"/>
  <cols>
    <col min="1" max="1" width="46.8515625" style="410" customWidth="1"/>
    <col min="2" max="2" width="5.140625" style="410" bestFit="1" customWidth="1"/>
    <col min="3" max="4" width="3.8515625" style="410" customWidth="1"/>
    <col min="5" max="5" width="13.28125" style="410" customWidth="1"/>
    <col min="6" max="6" width="4.57421875" style="410" customWidth="1"/>
    <col min="7" max="8" width="14.421875" style="414" customWidth="1"/>
    <col min="9" max="9" width="10.8515625" style="410" customWidth="1"/>
    <col min="10" max="11" width="13.8515625" style="410" bestFit="1" customWidth="1"/>
    <col min="12" max="12" width="13.140625" style="410" bestFit="1" customWidth="1"/>
    <col min="13" max="13" width="4.140625" style="410" bestFit="1" customWidth="1"/>
    <col min="14" max="15" width="12.57421875" style="410" customWidth="1"/>
    <col min="16" max="16384" width="9.140625" style="410" customWidth="1"/>
  </cols>
  <sheetData>
    <row r="1" spans="1:8" ht="12.75">
      <c r="A1" s="407"/>
      <c r="B1" s="496"/>
      <c r="C1" s="497"/>
      <c r="D1" s="497"/>
      <c r="E1" s="497"/>
      <c r="F1" s="497"/>
      <c r="G1" s="409"/>
      <c r="H1" s="409" t="s">
        <v>323</v>
      </c>
    </row>
    <row r="2" spans="1:8" ht="12.75">
      <c r="A2" s="407"/>
      <c r="B2" s="496"/>
      <c r="C2" s="497"/>
      <c r="D2" s="497"/>
      <c r="E2" s="497"/>
      <c r="F2" s="497"/>
      <c r="G2" s="66"/>
      <c r="H2" s="66" t="s">
        <v>519</v>
      </c>
    </row>
    <row r="3" spans="1:12" ht="12.75">
      <c r="A3" s="407"/>
      <c r="B3" s="496"/>
      <c r="C3" s="497"/>
      <c r="D3" s="497"/>
      <c r="E3" s="498"/>
      <c r="F3" s="498"/>
      <c r="G3" s="67"/>
      <c r="H3" s="495" t="s">
        <v>351</v>
      </c>
      <c r="I3" s="56"/>
      <c r="J3" s="56"/>
      <c r="K3" s="56"/>
      <c r="L3" s="56"/>
    </row>
    <row r="4" spans="1:8" ht="12.75">
      <c r="A4" s="499"/>
      <c r="B4" s="500"/>
      <c r="C4" s="497"/>
      <c r="D4" s="497"/>
      <c r="E4" s="497"/>
      <c r="F4" s="497"/>
      <c r="G4" s="501"/>
      <c r="H4" s="501"/>
    </row>
    <row r="5" spans="1:8" ht="12.75">
      <c r="A5" s="411" t="s">
        <v>176</v>
      </c>
      <c r="B5" s="502"/>
      <c r="C5" s="502"/>
      <c r="D5" s="502"/>
      <c r="E5" s="502"/>
      <c r="F5" s="502"/>
      <c r="G5" s="503"/>
      <c r="H5" s="503"/>
    </row>
    <row r="6" spans="1:11" ht="12.75">
      <c r="A6" s="412"/>
      <c r="B6" s="504"/>
      <c r="C6" s="504"/>
      <c r="D6" s="504"/>
      <c r="E6" s="504"/>
      <c r="F6" s="504"/>
      <c r="G6" s="413"/>
      <c r="H6" s="413" t="s">
        <v>100</v>
      </c>
      <c r="J6" s="414"/>
      <c r="K6" s="414"/>
    </row>
    <row r="7" spans="1:11" ht="22.5">
      <c r="A7" s="505" t="s">
        <v>96</v>
      </c>
      <c r="B7" s="506" t="s">
        <v>227</v>
      </c>
      <c r="C7" s="506" t="s">
        <v>541</v>
      </c>
      <c r="D7" s="506" t="s">
        <v>542</v>
      </c>
      <c r="E7" s="506" t="s">
        <v>543</v>
      </c>
      <c r="F7" s="506" t="s">
        <v>544</v>
      </c>
      <c r="G7" s="507" t="s">
        <v>242</v>
      </c>
      <c r="H7" s="507" t="s">
        <v>177</v>
      </c>
      <c r="J7" s="414"/>
      <c r="K7" s="414"/>
    </row>
    <row r="8" spans="1:11" ht="12.75">
      <c r="A8" s="505" t="s">
        <v>598</v>
      </c>
      <c r="B8" s="506" t="s">
        <v>97</v>
      </c>
      <c r="C8" s="506" t="s">
        <v>599</v>
      </c>
      <c r="D8" s="506" t="s">
        <v>545</v>
      </c>
      <c r="E8" s="506" t="s">
        <v>546</v>
      </c>
      <c r="F8" s="506" t="s">
        <v>547</v>
      </c>
      <c r="G8" s="508" t="s">
        <v>12</v>
      </c>
      <c r="H8" s="508" t="s">
        <v>12</v>
      </c>
      <c r="I8" s="414"/>
      <c r="J8" s="414"/>
      <c r="K8" s="414"/>
    </row>
    <row r="9" spans="1:11" ht="12.75">
      <c r="A9" s="419" t="s">
        <v>101</v>
      </c>
      <c r="B9" s="420"/>
      <c r="C9" s="420" t="s">
        <v>99</v>
      </c>
      <c r="D9" s="420" t="s">
        <v>99</v>
      </c>
      <c r="E9" s="420" t="s">
        <v>99</v>
      </c>
      <c r="F9" s="420" t="s">
        <v>99</v>
      </c>
      <c r="G9" s="421">
        <f>G10+G233+G312+G322</f>
        <v>244505984</v>
      </c>
      <c r="H9" s="421">
        <f>H10+H233+H312+H322</f>
        <v>241409166</v>
      </c>
      <c r="J9" s="414"/>
      <c r="K9" s="414"/>
    </row>
    <row r="10" spans="1:11" ht="12.75">
      <c r="A10" s="509" t="s">
        <v>659</v>
      </c>
      <c r="B10" s="510" t="s">
        <v>742</v>
      </c>
      <c r="C10" s="511"/>
      <c r="D10" s="511"/>
      <c r="E10" s="511"/>
      <c r="F10" s="511"/>
      <c r="G10" s="512">
        <f>G11+G60+G66+G75+G95+G128+G187+G206+G212+G226</f>
        <v>219799873</v>
      </c>
      <c r="H10" s="512">
        <f>H11+H60+H66+H75+H95+H128+H187+H206+H212+H226</f>
        <v>214009508</v>
      </c>
      <c r="J10" s="426"/>
      <c r="K10" s="426"/>
    </row>
    <row r="11" spans="1:11" ht="12.75">
      <c r="A11" s="422" t="s">
        <v>28</v>
      </c>
      <c r="B11" s="423"/>
      <c r="C11" s="423" t="s">
        <v>548</v>
      </c>
      <c r="D11" s="453" t="s">
        <v>912</v>
      </c>
      <c r="E11" s="423" t="s">
        <v>99</v>
      </c>
      <c r="F11" s="423" t="s">
        <v>99</v>
      </c>
      <c r="G11" s="425">
        <f>G12+G17+G27+G32</f>
        <v>20446237</v>
      </c>
      <c r="H11" s="425">
        <f>H12+H17+H27+H32</f>
        <v>19841802</v>
      </c>
      <c r="J11" s="426"/>
      <c r="K11" s="426"/>
    </row>
    <row r="12" spans="1:11" ht="38.25">
      <c r="A12" s="427" t="s">
        <v>549</v>
      </c>
      <c r="B12" s="428"/>
      <c r="C12" s="428" t="s">
        <v>548</v>
      </c>
      <c r="D12" s="428" t="s">
        <v>550</v>
      </c>
      <c r="E12" s="428" t="s">
        <v>99</v>
      </c>
      <c r="F12" s="428" t="s">
        <v>99</v>
      </c>
      <c r="G12" s="429">
        <f aca="true" t="shared" si="0" ref="G12:H15">G13</f>
        <v>944604</v>
      </c>
      <c r="H12" s="429">
        <f t="shared" si="0"/>
        <v>913684</v>
      </c>
      <c r="J12" s="426"/>
      <c r="K12" s="426"/>
    </row>
    <row r="13" spans="1:11" ht="25.5">
      <c r="A13" s="430" t="s">
        <v>17</v>
      </c>
      <c r="B13" s="431"/>
      <c r="C13" s="431" t="s">
        <v>548</v>
      </c>
      <c r="D13" s="431" t="s">
        <v>550</v>
      </c>
      <c r="E13" s="431" t="s">
        <v>433</v>
      </c>
      <c r="F13" s="431" t="s">
        <v>99</v>
      </c>
      <c r="G13" s="429">
        <f t="shared" si="0"/>
        <v>944604</v>
      </c>
      <c r="H13" s="429">
        <f t="shared" si="0"/>
        <v>913684</v>
      </c>
      <c r="J13" s="426"/>
      <c r="K13" s="426"/>
    </row>
    <row r="14" spans="1:11" ht="12.75">
      <c r="A14" s="430" t="s">
        <v>228</v>
      </c>
      <c r="B14" s="431"/>
      <c r="C14" s="431" t="s">
        <v>548</v>
      </c>
      <c r="D14" s="431" t="s">
        <v>550</v>
      </c>
      <c r="E14" s="431" t="s">
        <v>434</v>
      </c>
      <c r="F14" s="432" t="s">
        <v>99</v>
      </c>
      <c r="G14" s="429">
        <f t="shared" si="0"/>
        <v>944604</v>
      </c>
      <c r="H14" s="429">
        <f t="shared" si="0"/>
        <v>913684</v>
      </c>
      <c r="J14" s="426"/>
      <c r="K14" s="426"/>
    </row>
    <row r="15" spans="1:11" ht="25.5">
      <c r="A15" s="432" t="s">
        <v>514</v>
      </c>
      <c r="B15" s="431"/>
      <c r="C15" s="431" t="s">
        <v>548</v>
      </c>
      <c r="D15" s="431" t="s">
        <v>550</v>
      </c>
      <c r="E15" s="431" t="s">
        <v>435</v>
      </c>
      <c r="F15" s="431" t="s">
        <v>99</v>
      </c>
      <c r="G15" s="429">
        <f t="shared" si="0"/>
        <v>944604</v>
      </c>
      <c r="H15" s="429">
        <f t="shared" si="0"/>
        <v>913684</v>
      </c>
      <c r="J15" s="426"/>
      <c r="K15" s="426"/>
    </row>
    <row r="16" spans="1:11" ht="63.75">
      <c r="A16" s="430" t="s">
        <v>104</v>
      </c>
      <c r="B16" s="431"/>
      <c r="C16" s="431" t="s">
        <v>548</v>
      </c>
      <c r="D16" s="431" t="s">
        <v>550</v>
      </c>
      <c r="E16" s="431" t="s">
        <v>435</v>
      </c>
      <c r="F16" s="431" t="s">
        <v>27</v>
      </c>
      <c r="G16" s="433">
        <v>944604</v>
      </c>
      <c r="H16" s="433">
        <v>913684</v>
      </c>
      <c r="J16" s="426"/>
      <c r="K16" s="426"/>
    </row>
    <row r="17" spans="1:11" ht="51">
      <c r="A17" s="427" t="s">
        <v>502</v>
      </c>
      <c r="B17" s="428"/>
      <c r="C17" s="428" t="s">
        <v>548</v>
      </c>
      <c r="D17" s="428" t="s">
        <v>551</v>
      </c>
      <c r="E17" s="428" t="s">
        <v>99</v>
      </c>
      <c r="F17" s="428" t="s">
        <v>99</v>
      </c>
      <c r="G17" s="429">
        <f>G18</f>
        <v>7828780</v>
      </c>
      <c r="H17" s="429">
        <f>H18</f>
        <v>7599647</v>
      </c>
      <c r="J17" s="426"/>
      <c r="K17" s="426"/>
    </row>
    <row r="18" spans="1:11" ht="25.5">
      <c r="A18" s="430" t="s">
        <v>467</v>
      </c>
      <c r="B18" s="431"/>
      <c r="C18" s="431" t="s">
        <v>548</v>
      </c>
      <c r="D18" s="431" t="s">
        <v>551</v>
      </c>
      <c r="E18" s="431" t="s">
        <v>436</v>
      </c>
      <c r="F18" s="431" t="s">
        <v>99</v>
      </c>
      <c r="G18" s="429">
        <f>G19</f>
        <v>7828780</v>
      </c>
      <c r="H18" s="429">
        <f>H19</f>
        <v>7599647</v>
      </c>
      <c r="J18" s="426"/>
      <c r="K18" s="426"/>
    </row>
    <row r="19" spans="1:11" ht="25.5">
      <c r="A19" s="430" t="s">
        <v>473</v>
      </c>
      <c r="B19" s="431"/>
      <c r="C19" s="431" t="s">
        <v>548</v>
      </c>
      <c r="D19" s="431" t="s">
        <v>551</v>
      </c>
      <c r="E19" s="431" t="s">
        <v>437</v>
      </c>
      <c r="F19" s="432" t="s">
        <v>99</v>
      </c>
      <c r="G19" s="429">
        <f>G20+G23</f>
        <v>7828780</v>
      </c>
      <c r="H19" s="429">
        <f>H20+H23</f>
        <v>7599647</v>
      </c>
      <c r="J19" s="426"/>
      <c r="K19" s="426"/>
    </row>
    <row r="20" spans="1:11" ht="38.25">
      <c r="A20" s="430" t="s">
        <v>610</v>
      </c>
      <c r="B20" s="431"/>
      <c r="C20" s="431" t="s">
        <v>548</v>
      </c>
      <c r="D20" s="431" t="s">
        <v>551</v>
      </c>
      <c r="E20" s="431" t="s">
        <v>438</v>
      </c>
      <c r="F20" s="432"/>
      <c r="G20" s="429">
        <f>SUM(G21:G22)</f>
        <v>296000</v>
      </c>
      <c r="H20" s="429">
        <f>SUM(H21:H22)</f>
        <v>296000</v>
      </c>
      <c r="J20" s="426"/>
      <c r="K20" s="426"/>
    </row>
    <row r="21" spans="1:11" ht="63.75">
      <c r="A21" s="430" t="s">
        <v>104</v>
      </c>
      <c r="B21" s="431"/>
      <c r="C21" s="431" t="s">
        <v>548</v>
      </c>
      <c r="D21" s="431" t="s">
        <v>551</v>
      </c>
      <c r="E21" s="431" t="s">
        <v>438</v>
      </c>
      <c r="F21" s="432">
        <v>100</v>
      </c>
      <c r="G21" s="433">
        <f>273792+3800</f>
        <v>277592</v>
      </c>
      <c r="H21" s="433">
        <f>273792+3800</f>
        <v>277592</v>
      </c>
      <c r="J21" s="426"/>
      <c r="K21" s="426"/>
    </row>
    <row r="22" spans="1:11" ht="25.5">
      <c r="A22" s="430" t="s">
        <v>482</v>
      </c>
      <c r="B22" s="431"/>
      <c r="C22" s="431" t="s">
        <v>548</v>
      </c>
      <c r="D22" s="431" t="s">
        <v>551</v>
      </c>
      <c r="E22" s="431" t="s">
        <v>438</v>
      </c>
      <c r="F22" s="432">
        <v>200</v>
      </c>
      <c r="G22" s="433">
        <v>18408</v>
      </c>
      <c r="H22" s="433">
        <v>18408</v>
      </c>
      <c r="J22" s="426"/>
      <c r="K22" s="426"/>
    </row>
    <row r="23" spans="1:11" ht="25.5">
      <c r="A23" s="432" t="s">
        <v>514</v>
      </c>
      <c r="B23" s="431"/>
      <c r="C23" s="431" t="s">
        <v>548</v>
      </c>
      <c r="D23" s="431" t="s">
        <v>551</v>
      </c>
      <c r="E23" s="431" t="s">
        <v>439</v>
      </c>
      <c r="F23" s="431" t="s">
        <v>99</v>
      </c>
      <c r="G23" s="429">
        <f>SUM(G24:G26)</f>
        <v>7532780</v>
      </c>
      <c r="H23" s="429">
        <f>SUM(H24:H26)</f>
        <v>7303647</v>
      </c>
      <c r="J23" s="426"/>
      <c r="K23" s="426"/>
    </row>
    <row r="24" spans="1:11" ht="63.75">
      <c r="A24" s="430" t="s">
        <v>104</v>
      </c>
      <c r="B24" s="431"/>
      <c r="C24" s="431" t="s">
        <v>548</v>
      </c>
      <c r="D24" s="431" t="s">
        <v>551</v>
      </c>
      <c r="E24" s="431" t="s">
        <v>439</v>
      </c>
      <c r="F24" s="431">
        <v>100</v>
      </c>
      <c r="G24" s="433">
        <v>6999953</v>
      </c>
      <c r="H24" s="433">
        <f>5370435+1400385</f>
        <v>6770820</v>
      </c>
      <c r="J24" s="426"/>
      <c r="K24" s="426"/>
    </row>
    <row r="25" spans="1:11" ht="25.5">
      <c r="A25" s="430" t="s">
        <v>482</v>
      </c>
      <c r="B25" s="431"/>
      <c r="C25" s="431" t="s">
        <v>548</v>
      </c>
      <c r="D25" s="431" t="s">
        <v>551</v>
      </c>
      <c r="E25" s="431" t="s">
        <v>439</v>
      </c>
      <c r="F25" s="431">
        <v>200</v>
      </c>
      <c r="G25" s="433">
        <f>354854+31179</f>
        <v>386033</v>
      </c>
      <c r="H25" s="433">
        <f>354854+31179</f>
        <v>386033</v>
      </c>
      <c r="J25" s="426"/>
      <c r="K25" s="426"/>
    </row>
    <row r="26" spans="1:11" ht="12.75">
      <c r="A26" s="430" t="s">
        <v>89</v>
      </c>
      <c r="B26" s="431"/>
      <c r="C26" s="431" t="s">
        <v>548</v>
      </c>
      <c r="D26" s="431" t="s">
        <v>551</v>
      </c>
      <c r="E26" s="431" t="s">
        <v>439</v>
      </c>
      <c r="F26" s="431">
        <v>800</v>
      </c>
      <c r="G26" s="433">
        <v>146794</v>
      </c>
      <c r="H26" s="433">
        <v>146794</v>
      </c>
      <c r="J26" s="426"/>
      <c r="K26" s="426"/>
    </row>
    <row r="27" spans="1:11" ht="12.75">
      <c r="A27" s="427" t="s">
        <v>553</v>
      </c>
      <c r="B27" s="428"/>
      <c r="C27" s="428" t="s">
        <v>548</v>
      </c>
      <c r="D27" s="428" t="s">
        <v>554</v>
      </c>
      <c r="E27" s="428" t="s">
        <v>99</v>
      </c>
      <c r="F27" s="428" t="s">
        <v>99</v>
      </c>
      <c r="G27" s="429">
        <f aca="true" t="shared" si="1" ref="G27:H30">G28</f>
        <v>5000</v>
      </c>
      <c r="H27" s="429">
        <f t="shared" si="1"/>
        <v>5000</v>
      </c>
      <c r="J27" s="426"/>
      <c r="K27" s="426"/>
    </row>
    <row r="28" spans="1:11" ht="25.5">
      <c r="A28" s="430" t="s">
        <v>714</v>
      </c>
      <c r="B28" s="431"/>
      <c r="C28" s="431" t="s">
        <v>548</v>
      </c>
      <c r="D28" s="431" t="s">
        <v>554</v>
      </c>
      <c r="E28" s="431" t="s">
        <v>446</v>
      </c>
      <c r="F28" s="431" t="s">
        <v>99</v>
      </c>
      <c r="G28" s="429">
        <f t="shared" si="1"/>
        <v>5000</v>
      </c>
      <c r="H28" s="429">
        <f t="shared" si="1"/>
        <v>5000</v>
      </c>
      <c r="J28" s="426"/>
      <c r="K28" s="426"/>
    </row>
    <row r="29" spans="1:11" ht="12.75">
      <c r="A29" s="430" t="s">
        <v>553</v>
      </c>
      <c r="B29" s="431"/>
      <c r="C29" s="431" t="s">
        <v>548</v>
      </c>
      <c r="D29" s="431" t="s">
        <v>554</v>
      </c>
      <c r="E29" s="431" t="s">
        <v>447</v>
      </c>
      <c r="F29" s="432" t="s">
        <v>99</v>
      </c>
      <c r="G29" s="429">
        <f t="shared" si="1"/>
        <v>5000</v>
      </c>
      <c r="H29" s="429">
        <f t="shared" si="1"/>
        <v>5000</v>
      </c>
      <c r="J29" s="426"/>
      <c r="K29" s="426"/>
    </row>
    <row r="30" spans="1:11" ht="12.75">
      <c r="A30" s="432" t="s">
        <v>517</v>
      </c>
      <c r="B30" s="431"/>
      <c r="C30" s="431" t="s">
        <v>548</v>
      </c>
      <c r="D30" s="431" t="s">
        <v>554</v>
      </c>
      <c r="E30" s="431" t="s">
        <v>807</v>
      </c>
      <c r="F30" s="438" t="s">
        <v>99</v>
      </c>
      <c r="G30" s="429">
        <f t="shared" si="1"/>
        <v>5000</v>
      </c>
      <c r="H30" s="429">
        <f t="shared" si="1"/>
        <v>5000</v>
      </c>
      <c r="J30" s="426"/>
      <c r="K30" s="426"/>
    </row>
    <row r="31" spans="1:11" ht="12.75">
      <c r="A31" s="430" t="s">
        <v>89</v>
      </c>
      <c r="B31" s="431"/>
      <c r="C31" s="431" t="s">
        <v>548</v>
      </c>
      <c r="D31" s="431" t="s">
        <v>554</v>
      </c>
      <c r="E31" s="431" t="s">
        <v>807</v>
      </c>
      <c r="F31" s="431" t="s">
        <v>90</v>
      </c>
      <c r="G31" s="433">
        <v>5000</v>
      </c>
      <c r="H31" s="433">
        <v>5000</v>
      </c>
      <c r="J31" s="426"/>
      <c r="K31" s="426"/>
    </row>
    <row r="32" spans="1:11" ht="12.75">
      <c r="A32" s="427" t="s">
        <v>470</v>
      </c>
      <c r="B32" s="428"/>
      <c r="C32" s="428" t="s">
        <v>548</v>
      </c>
      <c r="D32" s="428" t="s">
        <v>218</v>
      </c>
      <c r="E32" s="428" t="s">
        <v>99</v>
      </c>
      <c r="F32" s="428" t="s">
        <v>99</v>
      </c>
      <c r="G32" s="429">
        <f>G33+G39+G49+G45</f>
        <v>11667853</v>
      </c>
      <c r="H32" s="429">
        <f>H33+H39+H49+H45</f>
        <v>11323471</v>
      </c>
      <c r="J32" s="426"/>
      <c r="K32" s="426"/>
    </row>
    <row r="33" spans="1:11" ht="51">
      <c r="A33" s="439" t="s">
        <v>476</v>
      </c>
      <c r="B33" s="431"/>
      <c r="C33" s="431" t="s">
        <v>548</v>
      </c>
      <c r="D33" s="431" t="s">
        <v>218</v>
      </c>
      <c r="E33" s="436" t="s">
        <v>814</v>
      </c>
      <c r="F33" s="431" t="s">
        <v>99</v>
      </c>
      <c r="G33" s="429">
        <f aca="true" t="shared" si="2" ref="G33:H35">G34</f>
        <v>321645.5</v>
      </c>
      <c r="H33" s="429">
        <f t="shared" si="2"/>
        <v>321645.5</v>
      </c>
      <c r="J33" s="426"/>
      <c r="K33" s="426"/>
    </row>
    <row r="34" spans="1:11" ht="84" customHeight="1">
      <c r="A34" s="440" t="s">
        <v>872</v>
      </c>
      <c r="B34" s="431"/>
      <c r="C34" s="431" t="s">
        <v>548</v>
      </c>
      <c r="D34" s="431" t="s">
        <v>218</v>
      </c>
      <c r="E34" s="436" t="s">
        <v>815</v>
      </c>
      <c r="F34" s="438" t="s">
        <v>99</v>
      </c>
      <c r="G34" s="429">
        <f t="shared" si="2"/>
        <v>321645.5</v>
      </c>
      <c r="H34" s="429">
        <f t="shared" si="2"/>
        <v>321645.5</v>
      </c>
      <c r="J34" s="426"/>
      <c r="K34" s="426"/>
    </row>
    <row r="35" spans="1:11" ht="51">
      <c r="A35" s="23" t="s">
        <v>844</v>
      </c>
      <c r="B35" s="431"/>
      <c r="C35" s="431" t="s">
        <v>548</v>
      </c>
      <c r="D35" s="431" t="s">
        <v>218</v>
      </c>
      <c r="E35" s="436" t="s">
        <v>816</v>
      </c>
      <c r="F35" s="438"/>
      <c r="G35" s="429">
        <f t="shared" si="2"/>
        <v>321645.5</v>
      </c>
      <c r="H35" s="429">
        <f t="shared" si="2"/>
        <v>321645.5</v>
      </c>
      <c r="J35" s="426"/>
      <c r="K35" s="426"/>
    </row>
    <row r="36" spans="1:11" ht="12.75">
      <c r="A36" s="432" t="s">
        <v>612</v>
      </c>
      <c r="B36" s="431"/>
      <c r="C36" s="431" t="s">
        <v>548</v>
      </c>
      <c r="D36" s="431" t="s">
        <v>218</v>
      </c>
      <c r="E36" s="436" t="s">
        <v>817</v>
      </c>
      <c r="F36" s="438" t="s">
        <v>99</v>
      </c>
      <c r="G36" s="429">
        <f>SUM(G37:G38)</f>
        <v>321645.5</v>
      </c>
      <c r="H36" s="429">
        <f>SUM(H37:H38)</f>
        <v>321645.5</v>
      </c>
      <c r="J36" s="426"/>
      <c r="K36" s="426"/>
    </row>
    <row r="37" spans="1:11" ht="25.5">
      <c r="A37" s="430" t="s">
        <v>482</v>
      </c>
      <c r="B37" s="431"/>
      <c r="C37" s="431" t="s">
        <v>548</v>
      </c>
      <c r="D37" s="431" t="s">
        <v>218</v>
      </c>
      <c r="E37" s="436" t="s">
        <v>817</v>
      </c>
      <c r="F37" s="431" t="s">
        <v>600</v>
      </c>
      <c r="G37" s="433">
        <f>261068+27080</f>
        <v>288148</v>
      </c>
      <c r="H37" s="433">
        <f>261068+27080</f>
        <v>288148</v>
      </c>
      <c r="J37" s="426"/>
      <c r="K37" s="426"/>
    </row>
    <row r="38" spans="1:11" ht="12.75">
      <c r="A38" s="430" t="s">
        <v>89</v>
      </c>
      <c r="B38" s="431"/>
      <c r="C38" s="431" t="s">
        <v>548</v>
      </c>
      <c r="D38" s="431" t="s">
        <v>218</v>
      </c>
      <c r="E38" s="436" t="s">
        <v>817</v>
      </c>
      <c r="F38" s="431">
        <v>800</v>
      </c>
      <c r="G38" s="433">
        <v>33497.5</v>
      </c>
      <c r="H38" s="433">
        <v>33497.5</v>
      </c>
      <c r="J38" s="426"/>
      <c r="K38" s="426"/>
    </row>
    <row r="39" spans="1:11" ht="63.75">
      <c r="A39" s="434" t="s">
        <v>931</v>
      </c>
      <c r="B39" s="431"/>
      <c r="C39" s="431" t="s">
        <v>548</v>
      </c>
      <c r="D39" s="431" t="s">
        <v>218</v>
      </c>
      <c r="E39" s="431" t="s">
        <v>818</v>
      </c>
      <c r="F39" s="431"/>
      <c r="G39" s="429">
        <f aca="true" t="shared" si="3" ref="G39:H41">G40</f>
        <v>296000</v>
      </c>
      <c r="H39" s="429">
        <f t="shared" si="3"/>
        <v>296000</v>
      </c>
      <c r="J39" s="426"/>
      <c r="K39" s="426"/>
    </row>
    <row r="40" spans="1:11" ht="76.5">
      <c r="A40" s="435" t="s">
        <v>56</v>
      </c>
      <c r="B40" s="431"/>
      <c r="C40" s="431" t="s">
        <v>548</v>
      </c>
      <c r="D40" s="431" t="s">
        <v>218</v>
      </c>
      <c r="E40" s="431" t="s">
        <v>819</v>
      </c>
      <c r="F40" s="431"/>
      <c r="G40" s="429">
        <f t="shared" si="3"/>
        <v>296000</v>
      </c>
      <c r="H40" s="429">
        <f t="shared" si="3"/>
        <v>296000</v>
      </c>
      <c r="J40" s="426"/>
      <c r="K40" s="426"/>
    </row>
    <row r="41" spans="1:11" ht="38.25">
      <c r="A41" s="430" t="s">
        <v>902</v>
      </c>
      <c r="B41" s="431"/>
      <c r="C41" s="431" t="s">
        <v>548</v>
      </c>
      <c r="D41" s="431" t="s">
        <v>218</v>
      </c>
      <c r="E41" s="431" t="s">
        <v>454</v>
      </c>
      <c r="F41" s="431"/>
      <c r="G41" s="429">
        <f t="shared" si="3"/>
        <v>296000</v>
      </c>
      <c r="H41" s="429">
        <f t="shared" si="3"/>
        <v>296000</v>
      </c>
      <c r="J41" s="426"/>
      <c r="K41" s="426"/>
    </row>
    <row r="42" spans="1:11" ht="51">
      <c r="A42" s="430" t="s">
        <v>453</v>
      </c>
      <c r="B42" s="431"/>
      <c r="C42" s="431" t="s">
        <v>548</v>
      </c>
      <c r="D42" s="431" t="s">
        <v>218</v>
      </c>
      <c r="E42" s="431" t="s">
        <v>901</v>
      </c>
      <c r="F42" s="431"/>
      <c r="G42" s="429">
        <f>SUM(G43:G44)</f>
        <v>296000</v>
      </c>
      <c r="H42" s="429">
        <f>SUM(H43:H44)</f>
        <v>296000</v>
      </c>
      <c r="J42" s="426"/>
      <c r="K42" s="426"/>
    </row>
    <row r="43" spans="1:11" ht="63.75">
      <c r="A43" s="430" t="s">
        <v>104</v>
      </c>
      <c r="B43" s="431"/>
      <c r="C43" s="431" t="s">
        <v>548</v>
      </c>
      <c r="D43" s="431" t="s">
        <v>218</v>
      </c>
      <c r="E43" s="431" t="s">
        <v>901</v>
      </c>
      <c r="F43" s="431">
        <v>100</v>
      </c>
      <c r="G43" s="433">
        <f>286475.15+3800</f>
        <v>290275.15</v>
      </c>
      <c r="H43" s="433">
        <f>286475.15+3800</f>
        <v>290275.15</v>
      </c>
      <c r="J43" s="426"/>
      <c r="K43" s="426"/>
    </row>
    <row r="44" spans="1:11" ht="25.5">
      <c r="A44" s="430" t="s">
        <v>482</v>
      </c>
      <c r="B44" s="431"/>
      <c r="C44" s="431" t="s">
        <v>548</v>
      </c>
      <c r="D44" s="431" t="s">
        <v>218</v>
      </c>
      <c r="E44" s="431" t="s">
        <v>901</v>
      </c>
      <c r="F44" s="431">
        <v>200</v>
      </c>
      <c r="G44" s="433">
        <v>5724.85</v>
      </c>
      <c r="H44" s="433">
        <v>5724.85</v>
      </c>
      <c r="J44" s="426"/>
      <c r="K44" s="426"/>
    </row>
    <row r="45" spans="1:11" ht="25.5">
      <c r="A45" s="441" t="s">
        <v>537</v>
      </c>
      <c r="B45" s="431"/>
      <c r="C45" s="442" t="s">
        <v>548</v>
      </c>
      <c r="D45" s="442" t="s">
        <v>218</v>
      </c>
      <c r="E45" s="443" t="s">
        <v>536</v>
      </c>
      <c r="F45" s="442"/>
      <c r="G45" s="444">
        <f aca="true" t="shared" si="4" ref="G45:H47">G46</f>
        <v>35000</v>
      </c>
      <c r="H45" s="444">
        <f t="shared" si="4"/>
        <v>35000</v>
      </c>
      <c r="J45" s="426"/>
      <c r="K45" s="426"/>
    </row>
    <row r="46" spans="1:11" ht="12.75">
      <c r="A46" s="445" t="s">
        <v>535</v>
      </c>
      <c r="B46" s="431"/>
      <c r="C46" s="442" t="s">
        <v>548</v>
      </c>
      <c r="D46" s="442" t="s">
        <v>218</v>
      </c>
      <c r="E46" s="443" t="s">
        <v>534</v>
      </c>
      <c r="F46" s="442"/>
      <c r="G46" s="444">
        <f t="shared" si="4"/>
        <v>35000</v>
      </c>
      <c r="H46" s="444">
        <f t="shared" si="4"/>
        <v>35000</v>
      </c>
      <c r="J46" s="426"/>
      <c r="K46" s="426"/>
    </row>
    <row r="47" spans="1:11" ht="25.5">
      <c r="A47" s="446" t="s">
        <v>843</v>
      </c>
      <c r="B47" s="431"/>
      <c r="C47" s="442" t="s">
        <v>548</v>
      </c>
      <c r="D47" s="442" t="s">
        <v>218</v>
      </c>
      <c r="E47" s="443" t="s">
        <v>497</v>
      </c>
      <c r="F47" s="442"/>
      <c r="G47" s="444">
        <f t="shared" si="4"/>
        <v>35000</v>
      </c>
      <c r="H47" s="444">
        <f t="shared" si="4"/>
        <v>35000</v>
      </c>
      <c r="J47" s="426"/>
      <c r="K47" s="426"/>
    </row>
    <row r="48" spans="1:11" ht="12.75">
      <c r="A48" s="441" t="s">
        <v>89</v>
      </c>
      <c r="B48" s="431"/>
      <c r="C48" s="442" t="s">
        <v>548</v>
      </c>
      <c r="D48" s="442" t="s">
        <v>218</v>
      </c>
      <c r="E48" s="443" t="s">
        <v>497</v>
      </c>
      <c r="F48" s="442">
        <v>800</v>
      </c>
      <c r="G48" s="444">
        <v>35000</v>
      </c>
      <c r="H48" s="444">
        <v>35000</v>
      </c>
      <c r="J48" s="426"/>
      <c r="K48" s="426"/>
    </row>
    <row r="49" spans="1:11" ht="25.5">
      <c r="A49" s="434" t="s">
        <v>391</v>
      </c>
      <c r="B49" s="431"/>
      <c r="C49" s="431" t="s">
        <v>548</v>
      </c>
      <c r="D49" s="431" t="s">
        <v>218</v>
      </c>
      <c r="E49" s="436" t="s">
        <v>820</v>
      </c>
      <c r="F49" s="438" t="s">
        <v>99</v>
      </c>
      <c r="G49" s="429">
        <f>G50</f>
        <v>11015207.5</v>
      </c>
      <c r="H49" s="429">
        <f>H50</f>
        <v>10670825.5</v>
      </c>
      <c r="J49" s="426"/>
      <c r="K49" s="426"/>
    </row>
    <row r="50" spans="1:11" ht="25.5">
      <c r="A50" s="435" t="s">
        <v>392</v>
      </c>
      <c r="B50" s="431"/>
      <c r="C50" s="431" t="s">
        <v>548</v>
      </c>
      <c r="D50" s="431" t="s">
        <v>218</v>
      </c>
      <c r="E50" s="437" t="s">
        <v>822</v>
      </c>
      <c r="F50" s="447" t="s">
        <v>99</v>
      </c>
      <c r="G50" s="429">
        <f>G51+G55+G57</f>
        <v>11015207.5</v>
      </c>
      <c r="H50" s="429">
        <f>H51+H55+H57</f>
        <v>10670825.5</v>
      </c>
      <c r="J50" s="426"/>
      <c r="K50" s="426"/>
    </row>
    <row r="51" spans="1:11" ht="25.5">
      <c r="A51" s="432" t="s">
        <v>126</v>
      </c>
      <c r="B51" s="431"/>
      <c r="C51" s="431" t="s">
        <v>548</v>
      </c>
      <c r="D51" s="431" t="s">
        <v>218</v>
      </c>
      <c r="E51" s="436" t="s">
        <v>823</v>
      </c>
      <c r="F51" s="438" t="s">
        <v>99</v>
      </c>
      <c r="G51" s="429">
        <f>SUM(G52:G54)</f>
        <v>10767207.5</v>
      </c>
      <c r="H51" s="429">
        <f>SUM(H52:H54)</f>
        <v>10422825.5</v>
      </c>
      <c r="J51" s="426"/>
      <c r="K51" s="426"/>
    </row>
    <row r="52" spans="1:11" ht="63.75">
      <c r="A52" s="430" t="s">
        <v>104</v>
      </c>
      <c r="B52" s="431"/>
      <c r="C52" s="431" t="s">
        <v>548</v>
      </c>
      <c r="D52" s="431" t="s">
        <v>218</v>
      </c>
      <c r="E52" s="436" t="s">
        <v>823</v>
      </c>
      <c r="F52" s="431" t="s">
        <v>27</v>
      </c>
      <c r="G52" s="433">
        <v>10520777</v>
      </c>
      <c r="H52" s="433">
        <f>8044620+2131775</f>
        <v>10176395</v>
      </c>
      <c r="J52" s="426"/>
      <c r="K52" s="426"/>
    </row>
    <row r="53" spans="1:11" ht="25.5">
      <c r="A53" s="430" t="s">
        <v>482</v>
      </c>
      <c r="B53" s="431"/>
      <c r="C53" s="431" t="s">
        <v>548</v>
      </c>
      <c r="D53" s="431" t="s">
        <v>218</v>
      </c>
      <c r="E53" s="436" t="s">
        <v>823</v>
      </c>
      <c r="F53" s="431" t="s">
        <v>600</v>
      </c>
      <c r="G53" s="433">
        <f>226185+462</f>
        <v>226647</v>
      </c>
      <c r="H53" s="433">
        <f>226185+462</f>
        <v>226647</v>
      </c>
      <c r="J53" s="426"/>
      <c r="K53" s="426"/>
    </row>
    <row r="54" spans="1:11" ht="12.75">
      <c r="A54" s="430" t="s">
        <v>89</v>
      </c>
      <c r="B54" s="431"/>
      <c r="C54" s="431" t="s">
        <v>548</v>
      </c>
      <c r="D54" s="431" t="s">
        <v>218</v>
      </c>
      <c r="E54" s="436" t="s">
        <v>823</v>
      </c>
      <c r="F54" s="431" t="s">
        <v>90</v>
      </c>
      <c r="G54" s="433">
        <v>19783.5</v>
      </c>
      <c r="H54" s="433">
        <v>19783.5</v>
      </c>
      <c r="J54" s="426"/>
      <c r="K54" s="426"/>
    </row>
    <row r="55" spans="1:11" ht="25.5">
      <c r="A55" s="432" t="s">
        <v>914</v>
      </c>
      <c r="B55" s="431"/>
      <c r="C55" s="431" t="s">
        <v>548</v>
      </c>
      <c r="D55" s="431" t="s">
        <v>218</v>
      </c>
      <c r="E55" s="436" t="s">
        <v>824</v>
      </c>
      <c r="F55" s="438" t="s">
        <v>99</v>
      </c>
      <c r="G55" s="429">
        <f>G56</f>
        <v>100000</v>
      </c>
      <c r="H55" s="429">
        <f>H56</f>
        <v>100000</v>
      </c>
      <c r="J55" s="426"/>
      <c r="K55" s="426"/>
    </row>
    <row r="56" spans="1:11" ht="25.5">
      <c r="A56" s="430" t="s">
        <v>482</v>
      </c>
      <c r="B56" s="431"/>
      <c r="C56" s="431" t="s">
        <v>548</v>
      </c>
      <c r="D56" s="431" t="s">
        <v>218</v>
      </c>
      <c r="E56" s="436" t="s">
        <v>824</v>
      </c>
      <c r="F56" s="436">
        <v>200</v>
      </c>
      <c r="G56" s="433">
        <v>100000</v>
      </c>
      <c r="H56" s="433">
        <v>100000</v>
      </c>
      <c r="J56" s="426"/>
      <c r="K56" s="426"/>
    </row>
    <row r="57" spans="1:11" ht="51">
      <c r="A57" s="32" t="s">
        <v>463</v>
      </c>
      <c r="B57" s="431"/>
      <c r="C57" s="431" t="s">
        <v>548</v>
      </c>
      <c r="D57" s="431" t="s">
        <v>218</v>
      </c>
      <c r="E57" s="436" t="s">
        <v>464</v>
      </c>
      <c r="F57" s="436"/>
      <c r="G57" s="429">
        <f>G58+G59</f>
        <v>148000</v>
      </c>
      <c r="H57" s="429">
        <f>H58+H59</f>
        <v>148000</v>
      </c>
      <c r="J57" s="426"/>
      <c r="K57" s="426"/>
    </row>
    <row r="58" spans="1:11" ht="63.75">
      <c r="A58" s="430" t="s">
        <v>104</v>
      </c>
      <c r="B58" s="431"/>
      <c r="C58" s="431" t="s">
        <v>548</v>
      </c>
      <c r="D58" s="431" t="s">
        <v>218</v>
      </c>
      <c r="E58" s="436" t="s">
        <v>464</v>
      </c>
      <c r="F58" s="436">
        <v>100</v>
      </c>
      <c r="G58" s="444">
        <f>125000+1900</f>
        <v>126900</v>
      </c>
      <c r="H58" s="444">
        <f>125000+1900</f>
        <v>126900</v>
      </c>
      <c r="J58" s="426"/>
      <c r="K58" s="426"/>
    </row>
    <row r="59" spans="1:11" ht="25.5">
      <c r="A59" s="455" t="s">
        <v>482</v>
      </c>
      <c r="B59" s="456"/>
      <c r="C59" s="456" t="s">
        <v>548</v>
      </c>
      <c r="D59" s="456" t="s">
        <v>218</v>
      </c>
      <c r="E59" s="457" t="s">
        <v>464</v>
      </c>
      <c r="F59" s="457">
        <v>200</v>
      </c>
      <c r="G59" s="452">
        <v>21100</v>
      </c>
      <c r="H59" s="452">
        <v>21100</v>
      </c>
      <c r="J59" s="426"/>
      <c r="K59" s="426"/>
    </row>
    <row r="60" spans="1:11" ht="12.75">
      <c r="A60" s="422" t="s">
        <v>539</v>
      </c>
      <c r="B60" s="423"/>
      <c r="C60" s="423" t="s">
        <v>550</v>
      </c>
      <c r="D60" s="453" t="s">
        <v>912</v>
      </c>
      <c r="E60" s="423" t="s">
        <v>99</v>
      </c>
      <c r="F60" s="423" t="s">
        <v>99</v>
      </c>
      <c r="G60" s="425">
        <f aca="true" t="shared" si="5" ref="G60:H64">G61</f>
        <v>5700</v>
      </c>
      <c r="H60" s="425">
        <f t="shared" si="5"/>
        <v>5700</v>
      </c>
      <c r="J60" s="426"/>
      <c r="K60" s="426"/>
    </row>
    <row r="61" spans="1:11" ht="12.75">
      <c r="A61" s="427" t="s">
        <v>538</v>
      </c>
      <c r="B61" s="428"/>
      <c r="C61" s="428" t="s">
        <v>550</v>
      </c>
      <c r="D61" s="428" t="s">
        <v>551</v>
      </c>
      <c r="E61" s="454" t="s">
        <v>99</v>
      </c>
      <c r="F61" s="454" t="s">
        <v>99</v>
      </c>
      <c r="G61" s="429">
        <f t="shared" si="5"/>
        <v>5700</v>
      </c>
      <c r="H61" s="429">
        <f t="shared" si="5"/>
        <v>5700</v>
      </c>
      <c r="J61" s="426"/>
      <c r="K61" s="426"/>
    </row>
    <row r="62" spans="1:11" ht="25.5">
      <c r="A62" s="430" t="s">
        <v>537</v>
      </c>
      <c r="B62" s="431"/>
      <c r="C62" s="431" t="s">
        <v>550</v>
      </c>
      <c r="D62" s="431" t="s">
        <v>551</v>
      </c>
      <c r="E62" s="436" t="s">
        <v>536</v>
      </c>
      <c r="F62" s="438" t="s">
        <v>99</v>
      </c>
      <c r="G62" s="429">
        <f t="shared" si="5"/>
        <v>5700</v>
      </c>
      <c r="H62" s="429">
        <f t="shared" si="5"/>
        <v>5700</v>
      </c>
      <c r="J62" s="426"/>
      <c r="K62" s="426"/>
    </row>
    <row r="63" spans="1:11" ht="12.75">
      <c r="A63" s="430" t="s">
        <v>535</v>
      </c>
      <c r="B63" s="431"/>
      <c r="C63" s="431" t="s">
        <v>550</v>
      </c>
      <c r="D63" s="431" t="s">
        <v>551</v>
      </c>
      <c r="E63" s="436" t="s">
        <v>534</v>
      </c>
      <c r="F63" s="438"/>
      <c r="G63" s="429">
        <f t="shared" si="5"/>
        <v>5700</v>
      </c>
      <c r="H63" s="429">
        <f t="shared" si="5"/>
        <v>5700</v>
      </c>
      <c r="J63" s="426"/>
      <c r="K63" s="426"/>
    </row>
    <row r="64" spans="1:11" ht="25.5">
      <c r="A64" s="25" t="s">
        <v>533</v>
      </c>
      <c r="B64" s="431"/>
      <c r="C64" s="431" t="s">
        <v>550</v>
      </c>
      <c r="D64" s="431" t="s">
        <v>551</v>
      </c>
      <c r="E64" s="436" t="s">
        <v>532</v>
      </c>
      <c r="F64" s="447" t="s">
        <v>99</v>
      </c>
      <c r="G64" s="429">
        <f t="shared" si="5"/>
        <v>5700</v>
      </c>
      <c r="H64" s="429">
        <f t="shared" si="5"/>
        <v>5700</v>
      </c>
      <c r="J64" s="426"/>
      <c r="K64" s="426"/>
    </row>
    <row r="65" spans="1:11" ht="25.5">
      <c r="A65" s="455" t="s">
        <v>103</v>
      </c>
      <c r="B65" s="456"/>
      <c r="C65" s="456" t="s">
        <v>550</v>
      </c>
      <c r="D65" s="456" t="s">
        <v>551</v>
      </c>
      <c r="E65" s="457" t="s">
        <v>532</v>
      </c>
      <c r="F65" s="456">
        <v>200</v>
      </c>
      <c r="G65" s="458">
        <v>5700</v>
      </c>
      <c r="H65" s="458">
        <v>5700</v>
      </c>
      <c r="J65" s="426"/>
      <c r="K65" s="426"/>
    </row>
    <row r="66" spans="1:11" ht="25.5">
      <c r="A66" s="422" t="s">
        <v>471</v>
      </c>
      <c r="B66" s="423"/>
      <c r="C66" s="423" t="s">
        <v>219</v>
      </c>
      <c r="D66" s="453" t="s">
        <v>912</v>
      </c>
      <c r="E66" s="423" t="s">
        <v>99</v>
      </c>
      <c r="F66" s="423" t="s">
        <v>99</v>
      </c>
      <c r="G66" s="425">
        <f aca="true" t="shared" si="6" ref="G66:H70">G67</f>
        <v>1208827</v>
      </c>
      <c r="H66" s="425">
        <f t="shared" si="6"/>
        <v>1172605</v>
      </c>
      <c r="J66" s="426"/>
      <c r="K66" s="426"/>
    </row>
    <row r="67" spans="1:11" ht="38.25">
      <c r="A67" s="427" t="s">
        <v>505</v>
      </c>
      <c r="B67" s="428"/>
      <c r="C67" s="428" t="s">
        <v>219</v>
      </c>
      <c r="D67" s="428" t="s">
        <v>220</v>
      </c>
      <c r="E67" s="428" t="s">
        <v>99</v>
      </c>
      <c r="F67" s="428" t="s">
        <v>99</v>
      </c>
      <c r="G67" s="429">
        <f t="shared" si="6"/>
        <v>1208827</v>
      </c>
      <c r="H67" s="429">
        <f t="shared" si="6"/>
        <v>1172605</v>
      </c>
      <c r="J67" s="426"/>
      <c r="K67" s="426"/>
    </row>
    <row r="68" spans="1:11" ht="63.75">
      <c r="A68" s="434" t="s">
        <v>57</v>
      </c>
      <c r="B68" s="431"/>
      <c r="C68" s="431" t="s">
        <v>219</v>
      </c>
      <c r="D68" s="431" t="s">
        <v>220</v>
      </c>
      <c r="E68" s="436" t="s">
        <v>825</v>
      </c>
      <c r="F68" s="431" t="s">
        <v>99</v>
      </c>
      <c r="G68" s="429">
        <f t="shared" si="6"/>
        <v>1208827</v>
      </c>
      <c r="H68" s="429">
        <f t="shared" si="6"/>
        <v>1172605</v>
      </c>
      <c r="J68" s="426"/>
      <c r="K68" s="426"/>
    </row>
    <row r="69" spans="1:11" ht="89.25">
      <c r="A69" s="29" t="s">
        <v>455</v>
      </c>
      <c r="B69" s="431"/>
      <c r="C69" s="431" t="s">
        <v>219</v>
      </c>
      <c r="D69" s="431" t="s">
        <v>220</v>
      </c>
      <c r="E69" s="436" t="s">
        <v>826</v>
      </c>
      <c r="F69" s="431"/>
      <c r="G69" s="429">
        <f t="shared" si="6"/>
        <v>1208827</v>
      </c>
      <c r="H69" s="429">
        <f t="shared" si="6"/>
        <v>1172605</v>
      </c>
      <c r="J69" s="426"/>
      <c r="K69" s="426"/>
    </row>
    <row r="70" spans="1:11" ht="76.5">
      <c r="A70" s="22" t="s">
        <v>429</v>
      </c>
      <c r="B70" s="431"/>
      <c r="C70" s="431" t="s">
        <v>219</v>
      </c>
      <c r="D70" s="431" t="s">
        <v>220</v>
      </c>
      <c r="E70" s="436" t="s">
        <v>831</v>
      </c>
      <c r="F70" s="431"/>
      <c r="G70" s="429">
        <f t="shared" si="6"/>
        <v>1208827</v>
      </c>
      <c r="H70" s="429">
        <f t="shared" si="6"/>
        <v>1172605</v>
      </c>
      <c r="J70" s="426"/>
      <c r="K70" s="426"/>
    </row>
    <row r="71" spans="1:11" ht="25.5">
      <c r="A71" s="432" t="s">
        <v>126</v>
      </c>
      <c r="B71" s="431"/>
      <c r="C71" s="431" t="s">
        <v>219</v>
      </c>
      <c r="D71" s="431" t="s">
        <v>220</v>
      </c>
      <c r="E71" s="436" t="s">
        <v>832</v>
      </c>
      <c r="F71" s="431" t="s">
        <v>99</v>
      </c>
      <c r="G71" s="429">
        <f>SUM(G72:G74)</f>
        <v>1208827</v>
      </c>
      <c r="H71" s="429">
        <f>SUM(H72:H74)</f>
        <v>1172605</v>
      </c>
      <c r="J71" s="426"/>
      <c r="K71" s="426"/>
    </row>
    <row r="72" spans="1:11" ht="63.75">
      <c r="A72" s="430" t="s">
        <v>104</v>
      </c>
      <c r="B72" s="431"/>
      <c r="C72" s="431" t="s">
        <v>219</v>
      </c>
      <c r="D72" s="431" t="s">
        <v>220</v>
      </c>
      <c r="E72" s="436" t="s">
        <v>832</v>
      </c>
      <c r="F72" s="431" t="s">
        <v>27</v>
      </c>
      <c r="G72" s="433">
        <v>1106571</v>
      </c>
      <c r="H72" s="433">
        <f>845467+224882</f>
        <v>1070349</v>
      </c>
      <c r="J72" s="426"/>
      <c r="K72" s="426"/>
    </row>
    <row r="73" spans="1:11" ht="25.5">
      <c r="A73" s="430" t="s">
        <v>482</v>
      </c>
      <c r="B73" s="431"/>
      <c r="C73" s="431" t="s">
        <v>219</v>
      </c>
      <c r="D73" s="431" t="s">
        <v>220</v>
      </c>
      <c r="E73" s="436" t="s">
        <v>832</v>
      </c>
      <c r="F73" s="431" t="s">
        <v>600</v>
      </c>
      <c r="G73" s="433">
        <f>93879+6554</f>
        <v>100433</v>
      </c>
      <c r="H73" s="433">
        <f>93879+6554</f>
        <v>100433</v>
      </c>
      <c r="J73" s="426"/>
      <c r="K73" s="426"/>
    </row>
    <row r="74" spans="1:11" ht="12.75">
      <c r="A74" s="455" t="s">
        <v>89</v>
      </c>
      <c r="B74" s="456"/>
      <c r="C74" s="456" t="s">
        <v>219</v>
      </c>
      <c r="D74" s="456" t="s">
        <v>220</v>
      </c>
      <c r="E74" s="457" t="s">
        <v>832</v>
      </c>
      <c r="F74" s="456" t="s">
        <v>90</v>
      </c>
      <c r="G74" s="458">
        <v>1823</v>
      </c>
      <c r="H74" s="458">
        <v>1823</v>
      </c>
      <c r="J74" s="426"/>
      <c r="K74" s="426"/>
    </row>
    <row r="75" spans="1:11" ht="12.75">
      <c r="A75" s="422" t="s">
        <v>506</v>
      </c>
      <c r="B75" s="423"/>
      <c r="C75" s="423" t="s">
        <v>551</v>
      </c>
      <c r="D75" s="453" t="s">
        <v>912</v>
      </c>
      <c r="E75" s="423" t="s">
        <v>99</v>
      </c>
      <c r="F75" s="423" t="s">
        <v>99</v>
      </c>
      <c r="G75" s="425">
        <f>G76+G82</f>
        <v>2707025</v>
      </c>
      <c r="H75" s="425">
        <f>H76+H82</f>
        <v>2705358</v>
      </c>
      <c r="J75" s="426"/>
      <c r="K75" s="426"/>
    </row>
    <row r="76" spans="1:11" ht="12.75">
      <c r="A76" s="427" t="s">
        <v>507</v>
      </c>
      <c r="B76" s="428"/>
      <c r="C76" s="428" t="s">
        <v>551</v>
      </c>
      <c r="D76" s="428" t="s">
        <v>548</v>
      </c>
      <c r="E76" s="428" t="s">
        <v>99</v>
      </c>
      <c r="F76" s="428" t="s">
        <v>99</v>
      </c>
      <c r="G76" s="429">
        <f aca="true" t="shared" si="7" ref="G76:H80">G77</f>
        <v>50933</v>
      </c>
      <c r="H76" s="429">
        <f t="shared" si="7"/>
        <v>49266</v>
      </c>
      <c r="J76" s="426"/>
      <c r="K76" s="426"/>
    </row>
    <row r="77" spans="1:11" ht="38.25">
      <c r="A77" s="434" t="s">
        <v>449</v>
      </c>
      <c r="B77" s="431"/>
      <c r="C77" s="431" t="s">
        <v>551</v>
      </c>
      <c r="D77" s="431" t="s">
        <v>548</v>
      </c>
      <c r="E77" s="436" t="s">
        <v>827</v>
      </c>
      <c r="F77" s="431" t="s">
        <v>99</v>
      </c>
      <c r="G77" s="429">
        <f t="shared" si="7"/>
        <v>50933</v>
      </c>
      <c r="H77" s="429">
        <f t="shared" si="7"/>
        <v>49266</v>
      </c>
      <c r="J77" s="426"/>
      <c r="K77" s="426"/>
    </row>
    <row r="78" spans="1:11" ht="63.75">
      <c r="A78" s="435" t="s">
        <v>18</v>
      </c>
      <c r="B78" s="431"/>
      <c r="C78" s="431" t="s">
        <v>551</v>
      </c>
      <c r="D78" s="431" t="s">
        <v>548</v>
      </c>
      <c r="E78" s="436" t="s">
        <v>828</v>
      </c>
      <c r="F78" s="431"/>
      <c r="G78" s="429">
        <f t="shared" si="7"/>
        <v>50933</v>
      </c>
      <c r="H78" s="429">
        <f t="shared" si="7"/>
        <v>49266</v>
      </c>
      <c r="J78" s="426"/>
      <c r="K78" s="426"/>
    </row>
    <row r="79" spans="1:11" ht="51">
      <c r="A79" s="23" t="s">
        <v>531</v>
      </c>
      <c r="B79" s="431"/>
      <c r="C79" s="431" t="s">
        <v>551</v>
      </c>
      <c r="D79" s="431" t="s">
        <v>548</v>
      </c>
      <c r="E79" s="436" t="s">
        <v>829</v>
      </c>
      <c r="F79" s="431"/>
      <c r="G79" s="429">
        <f t="shared" si="7"/>
        <v>50933</v>
      </c>
      <c r="H79" s="429">
        <f t="shared" si="7"/>
        <v>49266</v>
      </c>
      <c r="J79" s="426"/>
      <c r="K79" s="426"/>
    </row>
    <row r="80" spans="1:11" ht="25.5">
      <c r="A80" s="430" t="s">
        <v>448</v>
      </c>
      <c r="B80" s="431"/>
      <c r="C80" s="431" t="s">
        <v>551</v>
      </c>
      <c r="D80" s="431" t="s">
        <v>548</v>
      </c>
      <c r="E80" s="436" t="s">
        <v>830</v>
      </c>
      <c r="F80" s="431"/>
      <c r="G80" s="429">
        <f t="shared" si="7"/>
        <v>50933</v>
      </c>
      <c r="H80" s="429">
        <f t="shared" si="7"/>
        <v>49266</v>
      </c>
      <c r="J80" s="426"/>
      <c r="K80" s="426"/>
    </row>
    <row r="81" spans="1:11" ht="38.25">
      <c r="A81" s="430" t="s">
        <v>102</v>
      </c>
      <c r="B81" s="431"/>
      <c r="C81" s="431" t="s">
        <v>551</v>
      </c>
      <c r="D81" s="431" t="s">
        <v>548</v>
      </c>
      <c r="E81" s="436" t="s">
        <v>830</v>
      </c>
      <c r="F81" s="431">
        <v>600</v>
      </c>
      <c r="G81" s="433">
        <v>50933</v>
      </c>
      <c r="H81" s="433">
        <f>38709+10557</f>
        <v>49266</v>
      </c>
      <c r="J81" s="426"/>
      <c r="K81" s="426"/>
    </row>
    <row r="82" spans="1:11" ht="12.75">
      <c r="A82" s="427" t="s">
        <v>98</v>
      </c>
      <c r="B82" s="428"/>
      <c r="C82" s="428" t="s">
        <v>551</v>
      </c>
      <c r="D82" s="428" t="s">
        <v>220</v>
      </c>
      <c r="E82" s="454" t="s">
        <v>99</v>
      </c>
      <c r="F82" s="454" t="s">
        <v>99</v>
      </c>
      <c r="G82" s="429">
        <f>G83</f>
        <v>2656092</v>
      </c>
      <c r="H82" s="429">
        <f>H83</f>
        <v>2656092</v>
      </c>
      <c r="J82" s="426"/>
      <c r="K82" s="426"/>
    </row>
    <row r="83" spans="1:11" ht="63.75">
      <c r="A83" s="434" t="s">
        <v>479</v>
      </c>
      <c r="B83" s="431"/>
      <c r="C83" s="431" t="s">
        <v>551</v>
      </c>
      <c r="D83" s="431" t="s">
        <v>220</v>
      </c>
      <c r="E83" s="436" t="s">
        <v>836</v>
      </c>
      <c r="F83" s="438" t="s">
        <v>99</v>
      </c>
      <c r="G83" s="429">
        <f>G84+G91</f>
        <v>2656092</v>
      </c>
      <c r="H83" s="429">
        <f>H84+H91</f>
        <v>2656092</v>
      </c>
      <c r="J83" s="426"/>
      <c r="K83" s="426"/>
    </row>
    <row r="84" spans="1:11" ht="89.25">
      <c r="A84" s="15" t="s">
        <v>530</v>
      </c>
      <c r="B84" s="431"/>
      <c r="C84" s="431" t="s">
        <v>551</v>
      </c>
      <c r="D84" s="431" t="s">
        <v>220</v>
      </c>
      <c r="E84" s="437" t="s">
        <v>488</v>
      </c>
      <c r="F84" s="447" t="s">
        <v>99</v>
      </c>
      <c r="G84" s="429">
        <f>G85+G88</f>
        <v>2156092</v>
      </c>
      <c r="H84" s="429">
        <f>H85+H88</f>
        <v>2156092</v>
      </c>
      <c r="J84" s="426"/>
      <c r="K84" s="426"/>
    </row>
    <row r="85" spans="1:11" ht="38.25">
      <c r="A85" s="23" t="s">
        <v>487</v>
      </c>
      <c r="B85" s="431"/>
      <c r="C85" s="431" t="s">
        <v>551</v>
      </c>
      <c r="D85" s="431" t="s">
        <v>220</v>
      </c>
      <c r="E85" s="436" t="s">
        <v>486</v>
      </c>
      <c r="F85" s="447"/>
      <c r="G85" s="429">
        <f>G86</f>
        <v>186564</v>
      </c>
      <c r="H85" s="429">
        <f>H86</f>
        <v>186564</v>
      </c>
      <c r="J85" s="426"/>
      <c r="K85" s="426"/>
    </row>
    <row r="86" spans="1:11" ht="38.25">
      <c r="A86" s="26" t="s">
        <v>838</v>
      </c>
      <c r="B86" s="431"/>
      <c r="C86" s="431" t="s">
        <v>551</v>
      </c>
      <c r="D86" s="431" t="s">
        <v>220</v>
      </c>
      <c r="E86" s="436" t="s">
        <v>485</v>
      </c>
      <c r="F86" s="447"/>
      <c r="G86" s="429">
        <f>G87</f>
        <v>186564</v>
      </c>
      <c r="H86" s="429">
        <f>H87</f>
        <v>186564</v>
      </c>
      <c r="J86" s="426"/>
      <c r="K86" s="426"/>
    </row>
    <row r="87" spans="1:11" ht="12.75">
      <c r="A87" s="430" t="s">
        <v>89</v>
      </c>
      <c r="B87" s="431"/>
      <c r="C87" s="431" t="s">
        <v>551</v>
      </c>
      <c r="D87" s="431" t="s">
        <v>220</v>
      </c>
      <c r="E87" s="436" t="s">
        <v>485</v>
      </c>
      <c r="F87" s="432">
        <v>800</v>
      </c>
      <c r="G87" s="433">
        <v>186564</v>
      </c>
      <c r="H87" s="433">
        <v>186564</v>
      </c>
      <c r="J87" s="426"/>
      <c r="K87" s="426"/>
    </row>
    <row r="88" spans="1:11" ht="38.25">
      <c r="A88" s="23" t="s">
        <v>484</v>
      </c>
      <c r="B88" s="431"/>
      <c r="C88" s="431" t="s">
        <v>551</v>
      </c>
      <c r="D88" s="431" t="s">
        <v>220</v>
      </c>
      <c r="E88" s="436" t="s">
        <v>420</v>
      </c>
      <c r="F88" s="447"/>
      <c r="G88" s="429">
        <f>G89</f>
        <v>1969528</v>
      </c>
      <c r="H88" s="429">
        <f>H89</f>
        <v>1969528</v>
      </c>
      <c r="J88" s="426"/>
      <c r="K88" s="426"/>
    </row>
    <row r="89" spans="1:11" ht="38.25">
      <c r="A89" s="25" t="s">
        <v>838</v>
      </c>
      <c r="B89" s="431"/>
      <c r="C89" s="431" t="s">
        <v>551</v>
      </c>
      <c r="D89" s="431" t="s">
        <v>220</v>
      </c>
      <c r="E89" s="436" t="s">
        <v>491</v>
      </c>
      <c r="F89" s="431" t="s">
        <v>99</v>
      </c>
      <c r="G89" s="429">
        <f>G90</f>
        <v>1969528</v>
      </c>
      <c r="H89" s="429">
        <f>H90</f>
        <v>1969528</v>
      </c>
      <c r="J89" s="426"/>
      <c r="K89" s="426"/>
    </row>
    <row r="90" spans="1:11" ht="25.5">
      <c r="A90" s="430" t="s">
        <v>482</v>
      </c>
      <c r="B90" s="431"/>
      <c r="C90" s="431" t="s">
        <v>551</v>
      </c>
      <c r="D90" s="431" t="s">
        <v>220</v>
      </c>
      <c r="E90" s="436" t="s">
        <v>491</v>
      </c>
      <c r="F90" s="431">
        <v>200</v>
      </c>
      <c r="G90" s="433">
        <v>1969528</v>
      </c>
      <c r="H90" s="433">
        <v>1969528</v>
      </c>
      <c r="J90" s="426"/>
      <c r="K90" s="426"/>
    </row>
    <row r="91" spans="1:11" ht="89.25">
      <c r="A91" s="29" t="s">
        <v>0</v>
      </c>
      <c r="B91" s="459"/>
      <c r="C91" s="459" t="s">
        <v>551</v>
      </c>
      <c r="D91" s="459" t="s">
        <v>220</v>
      </c>
      <c r="E91" s="460" t="s">
        <v>837</v>
      </c>
      <c r="F91" s="459"/>
      <c r="G91" s="429">
        <f aca="true" t="shared" si="8" ref="G91:H93">G92</f>
        <v>500000</v>
      </c>
      <c r="H91" s="429">
        <f t="shared" si="8"/>
        <v>500000</v>
      </c>
      <c r="J91" s="426"/>
      <c r="K91" s="426"/>
    </row>
    <row r="92" spans="1:11" ht="63.75">
      <c r="A92" s="23" t="s">
        <v>216</v>
      </c>
      <c r="B92" s="459"/>
      <c r="C92" s="459" t="s">
        <v>551</v>
      </c>
      <c r="D92" s="459" t="s">
        <v>220</v>
      </c>
      <c r="E92" s="461" t="s">
        <v>1</v>
      </c>
      <c r="F92" s="459"/>
      <c r="G92" s="429">
        <f t="shared" si="8"/>
        <v>500000</v>
      </c>
      <c r="H92" s="429">
        <f t="shared" si="8"/>
        <v>500000</v>
      </c>
      <c r="J92" s="426"/>
      <c r="K92" s="426"/>
    </row>
    <row r="93" spans="1:11" ht="25.5">
      <c r="A93" s="26" t="s">
        <v>32</v>
      </c>
      <c r="B93" s="459"/>
      <c r="C93" s="459" t="s">
        <v>551</v>
      </c>
      <c r="D93" s="459" t="s">
        <v>220</v>
      </c>
      <c r="E93" s="461" t="s">
        <v>31</v>
      </c>
      <c r="F93" s="459"/>
      <c r="G93" s="429">
        <f t="shared" si="8"/>
        <v>500000</v>
      </c>
      <c r="H93" s="429">
        <f t="shared" si="8"/>
        <v>500000</v>
      </c>
      <c r="J93" s="426"/>
      <c r="K93" s="426"/>
    </row>
    <row r="94" spans="1:11" ht="12.75">
      <c r="A94" s="462" t="s">
        <v>89</v>
      </c>
      <c r="B94" s="459"/>
      <c r="C94" s="459" t="s">
        <v>551</v>
      </c>
      <c r="D94" s="459" t="s">
        <v>220</v>
      </c>
      <c r="E94" s="461" t="s">
        <v>31</v>
      </c>
      <c r="F94" s="459">
        <v>800</v>
      </c>
      <c r="G94" s="433">
        <v>500000</v>
      </c>
      <c r="H94" s="433">
        <v>500000</v>
      </c>
      <c r="J94" s="426"/>
      <c r="K94" s="426"/>
    </row>
    <row r="95" spans="1:11" ht="12.75">
      <c r="A95" s="422" t="s">
        <v>143</v>
      </c>
      <c r="B95" s="423"/>
      <c r="C95" s="423" t="s">
        <v>767</v>
      </c>
      <c r="D95" s="453" t="s">
        <v>912</v>
      </c>
      <c r="E95" s="423" t="s">
        <v>99</v>
      </c>
      <c r="F95" s="423" t="s">
        <v>99</v>
      </c>
      <c r="G95" s="425">
        <f>G96+G102+G113</f>
        <v>7672891</v>
      </c>
      <c r="H95" s="425">
        <f>H96+H102+H113</f>
        <v>3770795</v>
      </c>
      <c r="J95" s="426"/>
      <c r="K95" s="426"/>
    </row>
    <row r="96" spans="1:11" ht="12.75">
      <c r="A96" s="427" t="s">
        <v>490</v>
      </c>
      <c r="B96" s="428"/>
      <c r="C96" s="428" t="s">
        <v>767</v>
      </c>
      <c r="D96" s="463" t="s">
        <v>548</v>
      </c>
      <c r="E96" s="464"/>
      <c r="F96" s="464"/>
      <c r="G96" s="429">
        <f aca="true" t="shared" si="9" ref="G96:H99">G97</f>
        <v>200000</v>
      </c>
      <c r="H96" s="429">
        <f t="shared" si="9"/>
        <v>200000</v>
      </c>
      <c r="J96" s="426"/>
      <c r="K96" s="426"/>
    </row>
    <row r="97" spans="1:11" ht="63.75">
      <c r="A97" s="434" t="s">
        <v>480</v>
      </c>
      <c r="B97" s="431"/>
      <c r="C97" s="431" t="s">
        <v>767</v>
      </c>
      <c r="D97" s="465" t="s">
        <v>548</v>
      </c>
      <c r="E97" s="436" t="s">
        <v>839</v>
      </c>
      <c r="F97" s="464"/>
      <c r="G97" s="429">
        <f t="shared" si="9"/>
        <v>200000</v>
      </c>
      <c r="H97" s="429">
        <f t="shared" si="9"/>
        <v>200000</v>
      </c>
      <c r="J97" s="426"/>
      <c r="K97" s="426"/>
    </row>
    <row r="98" spans="1:11" ht="89.25">
      <c r="A98" s="435" t="s">
        <v>481</v>
      </c>
      <c r="B98" s="431"/>
      <c r="C98" s="431" t="s">
        <v>767</v>
      </c>
      <c r="D98" s="465" t="s">
        <v>548</v>
      </c>
      <c r="E98" s="437" t="s">
        <v>563</v>
      </c>
      <c r="F98" s="464"/>
      <c r="G98" s="429">
        <f t="shared" si="9"/>
        <v>200000</v>
      </c>
      <c r="H98" s="429">
        <f t="shared" si="9"/>
        <v>200000</v>
      </c>
      <c r="J98" s="426"/>
      <c r="K98" s="426"/>
    </row>
    <row r="99" spans="1:11" ht="38.25">
      <c r="A99" s="31" t="s">
        <v>489</v>
      </c>
      <c r="B99" s="431"/>
      <c r="C99" s="431" t="s">
        <v>767</v>
      </c>
      <c r="D99" s="465" t="s">
        <v>548</v>
      </c>
      <c r="E99" s="436" t="s">
        <v>53</v>
      </c>
      <c r="F99" s="464"/>
      <c r="G99" s="429">
        <f t="shared" si="9"/>
        <v>200000</v>
      </c>
      <c r="H99" s="429">
        <f t="shared" si="9"/>
        <v>200000</v>
      </c>
      <c r="J99" s="426"/>
      <c r="K99" s="426"/>
    </row>
    <row r="100" spans="1:11" ht="24">
      <c r="A100" s="28" t="s">
        <v>52</v>
      </c>
      <c r="B100" s="431"/>
      <c r="C100" s="431" t="s">
        <v>767</v>
      </c>
      <c r="D100" s="465" t="s">
        <v>548</v>
      </c>
      <c r="E100" s="436" t="s">
        <v>51</v>
      </c>
      <c r="F100" s="464"/>
      <c r="G100" s="429">
        <f>SUM(G101:G101)</f>
        <v>200000</v>
      </c>
      <c r="H100" s="429">
        <f>SUM(H101:H101)</f>
        <v>200000</v>
      </c>
      <c r="J100" s="426"/>
      <c r="K100" s="426"/>
    </row>
    <row r="101" spans="1:11" ht="25.5">
      <c r="A101" s="430" t="s">
        <v>482</v>
      </c>
      <c r="B101" s="431"/>
      <c r="C101" s="431" t="s">
        <v>767</v>
      </c>
      <c r="D101" s="465" t="s">
        <v>548</v>
      </c>
      <c r="E101" s="436" t="s">
        <v>51</v>
      </c>
      <c r="F101" s="431">
        <v>200</v>
      </c>
      <c r="G101" s="433">
        <v>200000</v>
      </c>
      <c r="H101" s="433">
        <v>200000</v>
      </c>
      <c r="J101" s="426"/>
      <c r="K101" s="426"/>
    </row>
    <row r="102" spans="1:11" ht="12.75">
      <c r="A102" s="435" t="s">
        <v>465</v>
      </c>
      <c r="B102" s="428"/>
      <c r="C102" s="428" t="s">
        <v>767</v>
      </c>
      <c r="D102" s="463" t="s">
        <v>550</v>
      </c>
      <c r="E102" s="464"/>
      <c r="F102" s="464"/>
      <c r="G102" s="429">
        <f>G103+G108</f>
        <v>551451</v>
      </c>
      <c r="H102" s="429">
        <f>H103+H108</f>
        <v>210000</v>
      </c>
      <c r="J102" s="426"/>
      <c r="K102" s="426"/>
    </row>
    <row r="103" spans="1:11" ht="51">
      <c r="A103" s="434" t="s">
        <v>50</v>
      </c>
      <c r="B103" s="465"/>
      <c r="C103" s="465" t="s">
        <v>767</v>
      </c>
      <c r="D103" s="465" t="s">
        <v>550</v>
      </c>
      <c r="E103" s="436" t="s">
        <v>49</v>
      </c>
      <c r="F103" s="464"/>
      <c r="G103" s="429">
        <f aca="true" t="shared" si="10" ref="G103:H106">G104</f>
        <v>210000</v>
      </c>
      <c r="H103" s="429">
        <f t="shared" si="10"/>
        <v>210000</v>
      </c>
      <c r="J103" s="426"/>
      <c r="K103" s="426"/>
    </row>
    <row r="104" spans="1:11" ht="63.75">
      <c r="A104" s="466" t="s">
        <v>34</v>
      </c>
      <c r="B104" s="465"/>
      <c r="C104" s="465" t="s">
        <v>767</v>
      </c>
      <c r="D104" s="465" t="s">
        <v>550</v>
      </c>
      <c r="E104" s="437" t="s">
        <v>525</v>
      </c>
      <c r="F104" s="464"/>
      <c r="G104" s="429">
        <f t="shared" si="10"/>
        <v>210000</v>
      </c>
      <c r="H104" s="429">
        <f t="shared" si="10"/>
        <v>210000</v>
      </c>
      <c r="J104" s="426"/>
      <c r="K104" s="426"/>
    </row>
    <row r="105" spans="1:11" ht="25.5">
      <c r="A105" s="22" t="s">
        <v>524</v>
      </c>
      <c r="B105" s="465"/>
      <c r="C105" s="465" t="s">
        <v>767</v>
      </c>
      <c r="D105" s="465" t="s">
        <v>550</v>
      </c>
      <c r="E105" s="436" t="s">
        <v>523</v>
      </c>
      <c r="F105" s="464"/>
      <c r="G105" s="429">
        <f t="shared" si="10"/>
        <v>210000</v>
      </c>
      <c r="H105" s="429">
        <f t="shared" si="10"/>
        <v>210000</v>
      </c>
      <c r="J105" s="426"/>
      <c r="K105" s="426"/>
    </row>
    <row r="106" spans="1:11" ht="38.25">
      <c r="A106" s="30" t="s">
        <v>522</v>
      </c>
      <c r="B106" s="465"/>
      <c r="C106" s="465" t="s">
        <v>767</v>
      </c>
      <c r="D106" s="465" t="s">
        <v>550</v>
      </c>
      <c r="E106" s="436" t="s">
        <v>521</v>
      </c>
      <c r="F106" s="464"/>
      <c r="G106" s="429">
        <f t="shared" si="10"/>
        <v>210000</v>
      </c>
      <c r="H106" s="429">
        <f t="shared" si="10"/>
        <v>210000</v>
      </c>
      <c r="J106" s="426"/>
      <c r="K106" s="426"/>
    </row>
    <row r="107" spans="1:11" ht="25.5">
      <c r="A107" s="430" t="s">
        <v>482</v>
      </c>
      <c r="B107" s="465"/>
      <c r="C107" s="465" t="s">
        <v>767</v>
      </c>
      <c r="D107" s="465" t="s">
        <v>550</v>
      </c>
      <c r="E107" s="436" t="s">
        <v>521</v>
      </c>
      <c r="F107" s="431">
        <v>200</v>
      </c>
      <c r="G107" s="433">
        <v>210000</v>
      </c>
      <c r="H107" s="433">
        <v>210000</v>
      </c>
      <c r="J107" s="426"/>
      <c r="K107" s="426"/>
    </row>
    <row r="108" spans="1:11" ht="63.75">
      <c r="A108" s="434" t="s">
        <v>480</v>
      </c>
      <c r="B108" s="431"/>
      <c r="C108" s="431" t="s">
        <v>767</v>
      </c>
      <c r="D108" s="465" t="s">
        <v>550</v>
      </c>
      <c r="E108" s="436" t="s">
        <v>839</v>
      </c>
      <c r="F108" s="464"/>
      <c r="G108" s="429">
        <f aca="true" t="shared" si="11" ref="G108:H111">G109</f>
        <v>341451</v>
      </c>
      <c r="H108" s="429">
        <f t="shared" si="11"/>
        <v>0</v>
      </c>
      <c r="J108" s="426"/>
      <c r="K108" s="426"/>
    </row>
    <row r="109" spans="1:11" ht="89.25">
      <c r="A109" s="435" t="s">
        <v>481</v>
      </c>
      <c r="B109" s="431"/>
      <c r="C109" s="431" t="s">
        <v>767</v>
      </c>
      <c r="D109" s="465" t="s">
        <v>550</v>
      </c>
      <c r="E109" s="437" t="s">
        <v>563</v>
      </c>
      <c r="F109" s="464"/>
      <c r="G109" s="429">
        <f t="shared" si="11"/>
        <v>341451</v>
      </c>
      <c r="H109" s="429">
        <f t="shared" si="11"/>
        <v>0</v>
      </c>
      <c r="J109" s="426"/>
      <c r="K109" s="426"/>
    </row>
    <row r="110" spans="1:11" ht="25.5">
      <c r="A110" s="22" t="s">
        <v>520</v>
      </c>
      <c r="B110" s="431"/>
      <c r="C110" s="431" t="s">
        <v>767</v>
      </c>
      <c r="D110" s="465" t="s">
        <v>550</v>
      </c>
      <c r="E110" s="436" t="s">
        <v>529</v>
      </c>
      <c r="F110" s="464"/>
      <c r="G110" s="429">
        <f t="shared" si="11"/>
        <v>341451</v>
      </c>
      <c r="H110" s="429">
        <f t="shared" si="11"/>
        <v>0</v>
      </c>
      <c r="J110" s="426"/>
      <c r="K110" s="426"/>
    </row>
    <row r="111" spans="1:11" ht="12.75">
      <c r="A111" s="430" t="s">
        <v>466</v>
      </c>
      <c r="B111" s="431"/>
      <c r="C111" s="431" t="s">
        <v>767</v>
      </c>
      <c r="D111" s="465" t="s">
        <v>550</v>
      </c>
      <c r="E111" s="436" t="s">
        <v>528</v>
      </c>
      <c r="F111" s="464"/>
      <c r="G111" s="429">
        <f t="shared" si="11"/>
        <v>341451</v>
      </c>
      <c r="H111" s="429">
        <f t="shared" si="11"/>
        <v>0</v>
      </c>
      <c r="J111" s="426"/>
      <c r="K111" s="426"/>
    </row>
    <row r="112" spans="1:11" ht="25.5">
      <c r="A112" s="430" t="s">
        <v>482</v>
      </c>
      <c r="B112" s="431"/>
      <c r="C112" s="431" t="s">
        <v>767</v>
      </c>
      <c r="D112" s="465" t="s">
        <v>550</v>
      </c>
      <c r="E112" s="436" t="s">
        <v>528</v>
      </c>
      <c r="F112" s="431">
        <v>200</v>
      </c>
      <c r="G112" s="433">
        <f>582000-240549</f>
        <v>341451</v>
      </c>
      <c r="H112" s="433">
        <v>0</v>
      </c>
      <c r="J112" s="426"/>
      <c r="K112" s="426"/>
    </row>
    <row r="113" spans="1:11" ht="12.75">
      <c r="A113" s="427" t="s">
        <v>567</v>
      </c>
      <c r="B113" s="428"/>
      <c r="C113" s="428" t="s">
        <v>767</v>
      </c>
      <c r="D113" s="428" t="s">
        <v>219</v>
      </c>
      <c r="E113" s="428" t="s">
        <v>99</v>
      </c>
      <c r="F113" s="428" t="s">
        <v>99</v>
      </c>
      <c r="G113" s="429">
        <f>G114+G120+G124</f>
        <v>6921440</v>
      </c>
      <c r="H113" s="429">
        <f>H114+H120+H124</f>
        <v>3360795</v>
      </c>
      <c r="J113" s="426"/>
      <c r="K113" s="426"/>
    </row>
    <row r="114" spans="1:11" ht="63.75">
      <c r="A114" s="434" t="s">
        <v>480</v>
      </c>
      <c r="B114" s="431"/>
      <c r="C114" s="431" t="s">
        <v>767</v>
      </c>
      <c r="D114" s="431" t="s">
        <v>219</v>
      </c>
      <c r="E114" s="436" t="s">
        <v>839</v>
      </c>
      <c r="F114" s="431" t="s">
        <v>99</v>
      </c>
      <c r="G114" s="429">
        <f aca="true" t="shared" si="12" ref="G114:H116">G115</f>
        <v>6391440</v>
      </c>
      <c r="H114" s="429">
        <f t="shared" si="12"/>
        <v>2830795</v>
      </c>
      <c r="J114" s="426"/>
      <c r="K114" s="426"/>
    </row>
    <row r="115" spans="1:11" ht="89.25">
      <c r="A115" s="435" t="s">
        <v>481</v>
      </c>
      <c r="B115" s="431"/>
      <c r="C115" s="431" t="s">
        <v>767</v>
      </c>
      <c r="D115" s="431" t="s">
        <v>219</v>
      </c>
      <c r="E115" s="437" t="s">
        <v>563</v>
      </c>
      <c r="F115" s="432" t="s">
        <v>99</v>
      </c>
      <c r="G115" s="429">
        <f t="shared" si="12"/>
        <v>6391440</v>
      </c>
      <c r="H115" s="429">
        <f t="shared" si="12"/>
        <v>2830795</v>
      </c>
      <c r="J115" s="426"/>
      <c r="K115" s="426"/>
    </row>
    <row r="116" spans="1:11" ht="25.5">
      <c r="A116" s="31" t="s">
        <v>527</v>
      </c>
      <c r="B116" s="431"/>
      <c r="C116" s="431" t="s">
        <v>767</v>
      </c>
      <c r="D116" s="431" t="s">
        <v>219</v>
      </c>
      <c r="E116" s="436" t="s">
        <v>904</v>
      </c>
      <c r="F116" s="432"/>
      <c r="G116" s="429">
        <f t="shared" si="12"/>
        <v>6391440</v>
      </c>
      <c r="H116" s="429">
        <f t="shared" si="12"/>
        <v>2830795</v>
      </c>
      <c r="J116" s="426"/>
      <c r="K116" s="426"/>
    </row>
    <row r="117" spans="1:11" ht="12.75">
      <c r="A117" s="26" t="s">
        <v>515</v>
      </c>
      <c r="B117" s="431"/>
      <c r="C117" s="431" t="s">
        <v>767</v>
      </c>
      <c r="D117" s="431" t="s">
        <v>219</v>
      </c>
      <c r="E117" s="436" t="s">
        <v>905</v>
      </c>
      <c r="F117" s="431" t="s">
        <v>99</v>
      </c>
      <c r="G117" s="429">
        <f>SUM(G118:G119)</f>
        <v>6391440</v>
      </c>
      <c r="H117" s="429">
        <f>SUM(H118:H119)</f>
        <v>2830795</v>
      </c>
      <c r="J117" s="426"/>
      <c r="K117" s="426"/>
    </row>
    <row r="118" spans="1:11" ht="25.5">
      <c r="A118" s="430" t="s">
        <v>482</v>
      </c>
      <c r="B118" s="431"/>
      <c r="C118" s="431" t="s">
        <v>767</v>
      </c>
      <c r="D118" s="431" t="s">
        <v>219</v>
      </c>
      <c r="E118" s="436" t="s">
        <v>905</v>
      </c>
      <c r="F118" s="431">
        <v>200</v>
      </c>
      <c r="G118" s="433">
        <f>936870+114326</f>
        <v>1051196</v>
      </c>
      <c r="H118" s="433">
        <f>936870+114326</f>
        <v>1051196</v>
      </c>
      <c r="J118" s="426"/>
      <c r="K118" s="426"/>
    </row>
    <row r="119" spans="1:11" ht="12.75">
      <c r="A119" s="430" t="s">
        <v>89</v>
      </c>
      <c r="B119" s="431"/>
      <c r="C119" s="431" t="s">
        <v>767</v>
      </c>
      <c r="D119" s="431" t="s">
        <v>219</v>
      </c>
      <c r="E119" s="436" t="s">
        <v>905</v>
      </c>
      <c r="F119" s="431">
        <v>800</v>
      </c>
      <c r="G119" s="433">
        <f>5099695+240549</f>
        <v>5340244</v>
      </c>
      <c r="H119" s="433">
        <f>1197599+582000</f>
        <v>1779599</v>
      </c>
      <c r="J119" s="426"/>
      <c r="K119" s="426"/>
    </row>
    <row r="120" spans="1:11" ht="51">
      <c r="A120" s="434" t="s">
        <v>475</v>
      </c>
      <c r="B120" s="431"/>
      <c r="C120" s="431" t="s">
        <v>767</v>
      </c>
      <c r="D120" s="431" t="s">
        <v>219</v>
      </c>
      <c r="E120" s="436" t="s">
        <v>397</v>
      </c>
      <c r="F120" s="431"/>
      <c r="G120" s="429">
        <f aca="true" t="shared" si="13" ref="G120:H122">G121</f>
        <v>500000</v>
      </c>
      <c r="H120" s="429">
        <f t="shared" si="13"/>
        <v>500000</v>
      </c>
      <c r="J120" s="426"/>
      <c r="K120" s="426"/>
    </row>
    <row r="121" spans="1:11" ht="25.5">
      <c r="A121" s="31" t="s">
        <v>690</v>
      </c>
      <c r="B121" s="431"/>
      <c r="C121" s="431" t="s">
        <v>767</v>
      </c>
      <c r="D121" s="431" t="s">
        <v>219</v>
      </c>
      <c r="E121" s="436" t="s">
        <v>689</v>
      </c>
      <c r="F121" s="431"/>
      <c r="G121" s="429">
        <f t="shared" si="13"/>
        <v>500000</v>
      </c>
      <c r="H121" s="429">
        <f t="shared" si="13"/>
        <v>500000</v>
      </c>
      <c r="J121" s="426"/>
      <c r="K121" s="426"/>
    </row>
    <row r="122" spans="1:11" ht="25.5">
      <c r="A122" s="196" t="s">
        <v>692</v>
      </c>
      <c r="B122" s="431"/>
      <c r="C122" s="431" t="s">
        <v>767</v>
      </c>
      <c r="D122" s="431" t="s">
        <v>219</v>
      </c>
      <c r="E122" s="436" t="s">
        <v>691</v>
      </c>
      <c r="F122" s="431"/>
      <c r="G122" s="429">
        <f t="shared" si="13"/>
        <v>500000</v>
      </c>
      <c r="H122" s="429">
        <f t="shared" si="13"/>
        <v>500000</v>
      </c>
      <c r="J122" s="426"/>
      <c r="K122" s="426"/>
    </row>
    <row r="123" spans="1:11" ht="25.5">
      <c r="A123" s="430" t="s">
        <v>482</v>
      </c>
      <c r="B123" s="431"/>
      <c r="C123" s="431" t="s">
        <v>767</v>
      </c>
      <c r="D123" s="431" t="s">
        <v>219</v>
      </c>
      <c r="E123" s="436" t="s">
        <v>691</v>
      </c>
      <c r="F123" s="431">
        <v>200</v>
      </c>
      <c r="G123" s="433">
        <v>500000</v>
      </c>
      <c r="H123" s="433">
        <v>500000</v>
      </c>
      <c r="J123" s="426"/>
      <c r="K123" s="426"/>
    </row>
    <row r="124" spans="1:11" ht="25.5">
      <c r="A124" s="467" t="s">
        <v>391</v>
      </c>
      <c r="B124" s="431"/>
      <c r="C124" s="442" t="s">
        <v>767</v>
      </c>
      <c r="D124" s="442" t="s">
        <v>219</v>
      </c>
      <c r="E124" s="443" t="s">
        <v>820</v>
      </c>
      <c r="F124" s="442"/>
      <c r="G124" s="448">
        <f aca="true" t="shared" si="14" ref="G124:H126">G125</f>
        <v>30000</v>
      </c>
      <c r="H124" s="448">
        <f t="shared" si="14"/>
        <v>30000</v>
      </c>
      <c r="J124" s="426"/>
      <c r="K124" s="426"/>
    </row>
    <row r="125" spans="1:11" ht="25.5">
      <c r="A125" s="445" t="s">
        <v>392</v>
      </c>
      <c r="B125" s="431"/>
      <c r="C125" s="442" t="s">
        <v>767</v>
      </c>
      <c r="D125" s="442" t="s">
        <v>219</v>
      </c>
      <c r="E125" s="443" t="s">
        <v>498</v>
      </c>
      <c r="F125" s="442"/>
      <c r="G125" s="448">
        <f t="shared" si="14"/>
        <v>30000</v>
      </c>
      <c r="H125" s="448">
        <f t="shared" si="14"/>
        <v>30000</v>
      </c>
      <c r="J125" s="426"/>
      <c r="K125" s="426"/>
    </row>
    <row r="126" spans="1:11" ht="25.5">
      <c r="A126" s="441" t="s">
        <v>499</v>
      </c>
      <c r="B126" s="431"/>
      <c r="C126" s="442" t="s">
        <v>767</v>
      </c>
      <c r="D126" s="442" t="s">
        <v>219</v>
      </c>
      <c r="E126" s="443" t="s">
        <v>504</v>
      </c>
      <c r="F126" s="442"/>
      <c r="G126" s="448">
        <f t="shared" si="14"/>
        <v>30000</v>
      </c>
      <c r="H126" s="448">
        <f t="shared" si="14"/>
        <v>30000</v>
      </c>
      <c r="J126" s="426"/>
      <c r="K126" s="426"/>
    </row>
    <row r="127" spans="1:11" ht="25.5">
      <c r="A127" s="441" t="s">
        <v>482</v>
      </c>
      <c r="B127" s="431"/>
      <c r="C127" s="442" t="s">
        <v>767</v>
      </c>
      <c r="D127" s="442" t="s">
        <v>219</v>
      </c>
      <c r="E127" s="443" t="s">
        <v>504</v>
      </c>
      <c r="F127" s="442">
        <v>200</v>
      </c>
      <c r="G127" s="448">
        <v>30000</v>
      </c>
      <c r="H127" s="448">
        <v>30000</v>
      </c>
      <c r="J127" s="426"/>
      <c r="K127" s="426"/>
    </row>
    <row r="128" spans="1:11" ht="12.75">
      <c r="A128" s="422" t="s">
        <v>568</v>
      </c>
      <c r="B128" s="423"/>
      <c r="C128" s="423" t="s">
        <v>768</v>
      </c>
      <c r="D128" s="453" t="s">
        <v>912</v>
      </c>
      <c r="E128" s="423" t="s">
        <v>99</v>
      </c>
      <c r="F128" s="423" t="s">
        <v>99</v>
      </c>
      <c r="G128" s="469">
        <f>G129+G143+G156+G164+G176</f>
        <v>168209657.5</v>
      </c>
      <c r="H128" s="469">
        <f>H129+H143+H156+H164+H176</f>
        <v>167331502.5</v>
      </c>
      <c r="J128" s="426"/>
      <c r="K128" s="426"/>
    </row>
    <row r="129" spans="1:11" ht="12.75">
      <c r="A129" s="427" t="s">
        <v>569</v>
      </c>
      <c r="B129" s="428"/>
      <c r="C129" s="428" t="s">
        <v>768</v>
      </c>
      <c r="D129" s="428" t="s">
        <v>548</v>
      </c>
      <c r="E129" s="428" t="s">
        <v>99</v>
      </c>
      <c r="F129" s="428" t="s">
        <v>99</v>
      </c>
      <c r="G129" s="470">
        <f>G130</f>
        <v>69920403</v>
      </c>
      <c r="H129" s="470">
        <f>H130</f>
        <v>69623201</v>
      </c>
      <c r="J129" s="426"/>
      <c r="K129" s="426"/>
    </row>
    <row r="130" spans="1:11" ht="38.25">
      <c r="A130" s="434" t="s">
        <v>60</v>
      </c>
      <c r="B130" s="431"/>
      <c r="C130" s="431" t="s">
        <v>768</v>
      </c>
      <c r="D130" s="431" t="s">
        <v>548</v>
      </c>
      <c r="E130" s="436" t="s">
        <v>564</v>
      </c>
      <c r="F130" s="431" t="s">
        <v>99</v>
      </c>
      <c r="G130" s="429">
        <f>G131</f>
        <v>69920403</v>
      </c>
      <c r="H130" s="429">
        <f>H131</f>
        <v>69623201</v>
      </c>
      <c r="J130" s="426"/>
      <c r="K130" s="426"/>
    </row>
    <row r="131" spans="1:11" ht="51">
      <c r="A131" s="435" t="s">
        <v>59</v>
      </c>
      <c r="B131" s="431"/>
      <c r="C131" s="431" t="s">
        <v>768</v>
      </c>
      <c r="D131" s="431" t="s">
        <v>548</v>
      </c>
      <c r="E131" s="437" t="s">
        <v>565</v>
      </c>
      <c r="F131" s="432" t="s">
        <v>99</v>
      </c>
      <c r="G131" s="429">
        <f>G132+G140</f>
        <v>69920403</v>
      </c>
      <c r="H131" s="429">
        <f>H132+H140</f>
        <v>69623201</v>
      </c>
      <c r="J131" s="426"/>
      <c r="K131" s="426"/>
    </row>
    <row r="132" spans="1:11" ht="25.5">
      <c r="A132" s="22" t="s">
        <v>906</v>
      </c>
      <c r="B132" s="431"/>
      <c r="C132" s="431" t="s">
        <v>768</v>
      </c>
      <c r="D132" s="431" t="s">
        <v>548</v>
      </c>
      <c r="E132" s="436" t="s">
        <v>566</v>
      </c>
      <c r="F132" s="432"/>
      <c r="G132" s="429">
        <f>G133+G136</f>
        <v>69720403</v>
      </c>
      <c r="H132" s="429">
        <f>H133+H136</f>
        <v>69423201</v>
      </c>
      <c r="J132" s="426"/>
      <c r="K132" s="426"/>
    </row>
    <row r="133" spans="1:11" ht="102">
      <c r="A133" s="16" t="s">
        <v>630</v>
      </c>
      <c r="B133" s="431"/>
      <c r="C133" s="431" t="s">
        <v>768</v>
      </c>
      <c r="D133" s="431" t="s">
        <v>548</v>
      </c>
      <c r="E133" s="436" t="s">
        <v>631</v>
      </c>
      <c r="F133" s="431" t="s">
        <v>99</v>
      </c>
      <c r="G133" s="429">
        <f>SUM(G134:G135)</f>
        <v>38143787</v>
      </c>
      <c r="H133" s="429">
        <f>SUM(H134:H135)</f>
        <v>38143787</v>
      </c>
      <c r="J133" s="426"/>
      <c r="K133" s="426"/>
    </row>
    <row r="134" spans="1:11" ht="63.75">
      <c r="A134" s="430" t="s">
        <v>104</v>
      </c>
      <c r="B134" s="431"/>
      <c r="C134" s="431" t="s">
        <v>768</v>
      </c>
      <c r="D134" s="431" t="s">
        <v>548</v>
      </c>
      <c r="E134" s="436" t="s">
        <v>631</v>
      </c>
      <c r="F134" s="431" t="s">
        <v>27</v>
      </c>
      <c r="G134" s="433">
        <v>37725152</v>
      </c>
      <c r="H134" s="433">
        <v>37725152</v>
      </c>
      <c r="J134" s="426"/>
      <c r="K134" s="426"/>
    </row>
    <row r="135" spans="1:11" ht="25.5">
      <c r="A135" s="430" t="s">
        <v>482</v>
      </c>
      <c r="B135" s="431"/>
      <c r="C135" s="431" t="s">
        <v>768</v>
      </c>
      <c r="D135" s="431" t="s">
        <v>548</v>
      </c>
      <c r="E135" s="436" t="s">
        <v>631</v>
      </c>
      <c r="F135" s="431" t="s">
        <v>600</v>
      </c>
      <c r="G135" s="433">
        <v>418635</v>
      </c>
      <c r="H135" s="433">
        <v>418635</v>
      </c>
      <c r="J135" s="426"/>
      <c r="K135" s="426"/>
    </row>
    <row r="136" spans="1:11" ht="25.5">
      <c r="A136" s="432" t="s">
        <v>126</v>
      </c>
      <c r="B136" s="431"/>
      <c r="C136" s="431" t="s">
        <v>768</v>
      </c>
      <c r="D136" s="431" t="s">
        <v>548</v>
      </c>
      <c r="E136" s="436" t="s">
        <v>632</v>
      </c>
      <c r="F136" s="431"/>
      <c r="G136" s="429">
        <f>SUM(G137:G139)</f>
        <v>31576616</v>
      </c>
      <c r="H136" s="429">
        <f>SUM(H137:H139)</f>
        <v>31279414</v>
      </c>
      <c r="J136" s="426"/>
      <c r="K136" s="426"/>
    </row>
    <row r="137" spans="1:11" ht="63.75">
      <c r="A137" s="430" t="s">
        <v>104</v>
      </c>
      <c r="B137" s="431"/>
      <c r="C137" s="431" t="s">
        <v>768</v>
      </c>
      <c r="D137" s="431" t="s">
        <v>548</v>
      </c>
      <c r="E137" s="436" t="s">
        <v>632</v>
      </c>
      <c r="F137" s="431">
        <v>100</v>
      </c>
      <c r="G137" s="433">
        <v>9079450</v>
      </c>
      <c r="H137" s="433">
        <f>6979964+1802284</f>
        <v>8782248</v>
      </c>
      <c r="J137" s="426"/>
      <c r="K137" s="426"/>
    </row>
    <row r="138" spans="1:11" ht="25.5">
      <c r="A138" s="430" t="s">
        <v>482</v>
      </c>
      <c r="B138" s="431"/>
      <c r="C138" s="431" t="s">
        <v>768</v>
      </c>
      <c r="D138" s="431" t="s">
        <v>548</v>
      </c>
      <c r="E138" s="436" t="s">
        <v>632</v>
      </c>
      <c r="F138" s="431">
        <v>200</v>
      </c>
      <c r="G138" s="433">
        <v>20148176</v>
      </c>
      <c r="H138" s="433">
        <v>20148176</v>
      </c>
      <c r="J138" s="426"/>
      <c r="K138" s="426"/>
    </row>
    <row r="139" spans="1:11" ht="12.75">
      <c r="A139" s="430" t="s">
        <v>89</v>
      </c>
      <c r="B139" s="431"/>
      <c r="C139" s="431" t="s">
        <v>768</v>
      </c>
      <c r="D139" s="431" t="s">
        <v>548</v>
      </c>
      <c r="E139" s="436" t="s">
        <v>632</v>
      </c>
      <c r="F139" s="431">
        <v>800</v>
      </c>
      <c r="G139" s="433">
        <v>2348990</v>
      </c>
      <c r="H139" s="433">
        <v>2348990</v>
      </c>
      <c r="J139" s="426"/>
      <c r="K139" s="426"/>
    </row>
    <row r="140" spans="1:11" ht="25.5">
      <c r="A140" s="31" t="s">
        <v>419</v>
      </c>
      <c r="B140" s="459"/>
      <c r="C140" s="459" t="s">
        <v>768</v>
      </c>
      <c r="D140" s="459" t="s">
        <v>548</v>
      </c>
      <c r="E140" s="461" t="s">
        <v>141</v>
      </c>
      <c r="F140" s="431"/>
      <c r="G140" s="429">
        <f>G141</f>
        <v>200000</v>
      </c>
      <c r="H140" s="429">
        <f>H141</f>
        <v>200000</v>
      </c>
      <c r="J140" s="426"/>
      <c r="K140" s="426"/>
    </row>
    <row r="141" spans="1:11" ht="25.5">
      <c r="A141" s="30" t="s">
        <v>500</v>
      </c>
      <c r="B141" s="431"/>
      <c r="C141" s="431" t="s">
        <v>768</v>
      </c>
      <c r="D141" s="431" t="s">
        <v>548</v>
      </c>
      <c r="E141" s="436" t="s">
        <v>662</v>
      </c>
      <c r="F141" s="431"/>
      <c r="G141" s="429">
        <f>G142</f>
        <v>200000</v>
      </c>
      <c r="H141" s="429">
        <f>H142</f>
        <v>200000</v>
      </c>
      <c r="J141" s="426"/>
      <c r="K141" s="426"/>
    </row>
    <row r="142" spans="1:11" ht="25.5">
      <c r="A142" s="430" t="s">
        <v>482</v>
      </c>
      <c r="B142" s="431"/>
      <c r="C142" s="431" t="s">
        <v>768</v>
      </c>
      <c r="D142" s="431" t="s">
        <v>548</v>
      </c>
      <c r="E142" s="436" t="s">
        <v>662</v>
      </c>
      <c r="F142" s="431">
        <v>200</v>
      </c>
      <c r="G142" s="433">
        <v>200000</v>
      </c>
      <c r="H142" s="433">
        <v>200000</v>
      </c>
      <c r="J142" s="426"/>
      <c r="K142" s="426"/>
    </row>
    <row r="143" spans="1:11" ht="12.75">
      <c r="A143" s="427" t="s">
        <v>570</v>
      </c>
      <c r="B143" s="428"/>
      <c r="C143" s="428" t="s">
        <v>768</v>
      </c>
      <c r="D143" s="428" t="s">
        <v>550</v>
      </c>
      <c r="E143" s="428" t="s">
        <v>99</v>
      </c>
      <c r="F143" s="428" t="s">
        <v>99</v>
      </c>
      <c r="G143" s="470">
        <f>G144</f>
        <v>78568664</v>
      </c>
      <c r="H143" s="470">
        <f>H144</f>
        <v>78568664</v>
      </c>
      <c r="J143" s="426"/>
      <c r="K143" s="426"/>
    </row>
    <row r="144" spans="1:11" ht="38.25">
      <c r="A144" s="434" t="s">
        <v>60</v>
      </c>
      <c r="B144" s="431"/>
      <c r="C144" s="431" t="s">
        <v>768</v>
      </c>
      <c r="D144" s="431" t="s">
        <v>550</v>
      </c>
      <c r="E144" s="436" t="s">
        <v>564</v>
      </c>
      <c r="F144" s="431" t="s">
        <v>99</v>
      </c>
      <c r="G144" s="429">
        <f>G145</f>
        <v>78568664</v>
      </c>
      <c r="H144" s="429">
        <f>H145</f>
        <v>78568664</v>
      </c>
      <c r="J144" s="426"/>
      <c r="K144" s="426"/>
    </row>
    <row r="145" spans="1:11" ht="51">
      <c r="A145" s="435" t="s">
        <v>59</v>
      </c>
      <c r="B145" s="431"/>
      <c r="C145" s="431" t="s">
        <v>768</v>
      </c>
      <c r="D145" s="431" t="s">
        <v>550</v>
      </c>
      <c r="E145" s="436" t="s">
        <v>565</v>
      </c>
      <c r="F145" s="432" t="s">
        <v>99</v>
      </c>
      <c r="G145" s="429">
        <f>G146+G151</f>
        <v>78568664</v>
      </c>
      <c r="H145" s="429">
        <f>H146+H151</f>
        <v>78568664</v>
      </c>
      <c r="J145" s="426"/>
      <c r="K145" s="426"/>
    </row>
    <row r="146" spans="1:11" ht="25.5">
      <c r="A146" s="22" t="s">
        <v>908</v>
      </c>
      <c r="B146" s="431"/>
      <c r="C146" s="431" t="s">
        <v>768</v>
      </c>
      <c r="D146" s="431" t="s">
        <v>550</v>
      </c>
      <c r="E146" s="436" t="s">
        <v>633</v>
      </c>
      <c r="F146" s="432"/>
      <c r="G146" s="429">
        <f>G147+G149</f>
        <v>76118414</v>
      </c>
      <c r="H146" s="429">
        <f>H147+H149</f>
        <v>76118414</v>
      </c>
      <c r="J146" s="426"/>
      <c r="K146" s="426"/>
    </row>
    <row r="147" spans="1:11" ht="102">
      <c r="A147" s="16" t="s">
        <v>430</v>
      </c>
      <c r="B147" s="431"/>
      <c r="C147" s="431" t="s">
        <v>768</v>
      </c>
      <c r="D147" s="431" t="s">
        <v>550</v>
      </c>
      <c r="E147" s="436" t="s">
        <v>634</v>
      </c>
      <c r="F147" s="431" t="s">
        <v>99</v>
      </c>
      <c r="G147" s="429">
        <f>G148</f>
        <v>64095685</v>
      </c>
      <c r="H147" s="429">
        <f>H148</f>
        <v>64095685</v>
      </c>
      <c r="J147" s="426"/>
      <c r="K147" s="426"/>
    </row>
    <row r="148" spans="1:11" ht="38.25">
      <c r="A148" s="430" t="s">
        <v>102</v>
      </c>
      <c r="B148" s="431"/>
      <c r="C148" s="431" t="s">
        <v>768</v>
      </c>
      <c r="D148" s="431" t="s">
        <v>550</v>
      </c>
      <c r="E148" s="436" t="s">
        <v>634</v>
      </c>
      <c r="F148" s="431">
        <v>600</v>
      </c>
      <c r="G148" s="433">
        <v>64095685</v>
      </c>
      <c r="H148" s="433">
        <v>64095685</v>
      </c>
      <c r="J148" s="426"/>
      <c r="K148" s="426"/>
    </row>
    <row r="149" spans="1:11" ht="25.5">
      <c r="A149" s="432" t="s">
        <v>126</v>
      </c>
      <c r="B149" s="431"/>
      <c r="C149" s="431" t="s">
        <v>768</v>
      </c>
      <c r="D149" s="431" t="s">
        <v>550</v>
      </c>
      <c r="E149" s="436" t="s">
        <v>635</v>
      </c>
      <c r="F149" s="431"/>
      <c r="G149" s="429">
        <f>G150</f>
        <v>12022729</v>
      </c>
      <c r="H149" s="429">
        <f>H150</f>
        <v>12022729</v>
      </c>
      <c r="J149" s="426"/>
      <c r="K149" s="426"/>
    </row>
    <row r="150" spans="1:11" ht="38.25">
      <c r="A150" s="430" t="s">
        <v>102</v>
      </c>
      <c r="B150" s="431"/>
      <c r="C150" s="431" t="s">
        <v>768</v>
      </c>
      <c r="D150" s="431" t="s">
        <v>550</v>
      </c>
      <c r="E150" s="436" t="s">
        <v>635</v>
      </c>
      <c r="F150" s="431">
        <v>600</v>
      </c>
      <c r="G150" s="433">
        <f>11060715+962014</f>
        <v>12022729</v>
      </c>
      <c r="H150" s="433">
        <f>11060715+962014</f>
        <v>12022729</v>
      </c>
      <c r="J150" s="426"/>
      <c r="K150" s="426"/>
    </row>
    <row r="151" spans="1:11" ht="25.5">
      <c r="A151" s="31" t="s">
        <v>909</v>
      </c>
      <c r="B151" s="459"/>
      <c r="C151" s="459" t="s">
        <v>768</v>
      </c>
      <c r="D151" s="459" t="s">
        <v>550</v>
      </c>
      <c r="E151" s="461" t="s">
        <v>636</v>
      </c>
      <c r="F151" s="431"/>
      <c r="G151" s="433">
        <f>G152+G154</f>
        <v>2450250</v>
      </c>
      <c r="H151" s="433">
        <f>H152+H154</f>
        <v>2450250</v>
      </c>
      <c r="J151" s="426"/>
      <c r="K151" s="426"/>
    </row>
    <row r="152" spans="1:11" ht="76.5">
      <c r="A152" s="30" t="s">
        <v>930</v>
      </c>
      <c r="B152" s="459"/>
      <c r="C152" s="459" t="s">
        <v>768</v>
      </c>
      <c r="D152" s="459" t="s">
        <v>550</v>
      </c>
      <c r="E152" s="461" t="s">
        <v>637</v>
      </c>
      <c r="F152" s="459"/>
      <c r="G152" s="429">
        <f>G153</f>
        <v>1650250</v>
      </c>
      <c r="H152" s="429">
        <f>H153</f>
        <v>1650250</v>
      </c>
      <c r="J152" s="426"/>
      <c r="K152" s="426"/>
    </row>
    <row r="153" spans="1:11" ht="38.25">
      <c r="A153" s="462" t="s">
        <v>102</v>
      </c>
      <c r="B153" s="459"/>
      <c r="C153" s="459" t="s">
        <v>768</v>
      </c>
      <c r="D153" s="459" t="s">
        <v>550</v>
      </c>
      <c r="E153" s="461" t="s">
        <v>637</v>
      </c>
      <c r="F153" s="459">
        <v>600</v>
      </c>
      <c r="G153" s="471">
        <v>1650250</v>
      </c>
      <c r="H153" s="471">
        <v>1650250</v>
      </c>
      <c r="J153" s="426"/>
      <c r="K153" s="426"/>
    </row>
    <row r="154" spans="1:11" ht="25.5">
      <c r="A154" s="30" t="s">
        <v>500</v>
      </c>
      <c r="B154" s="459"/>
      <c r="C154" s="459" t="s">
        <v>768</v>
      </c>
      <c r="D154" s="459" t="s">
        <v>550</v>
      </c>
      <c r="E154" s="436" t="s">
        <v>501</v>
      </c>
      <c r="F154" s="459"/>
      <c r="G154" s="429">
        <f>G155</f>
        <v>800000</v>
      </c>
      <c r="H154" s="429">
        <f>H155</f>
        <v>800000</v>
      </c>
      <c r="J154" s="426"/>
      <c r="K154" s="426"/>
    </row>
    <row r="155" spans="1:11" ht="38.25">
      <c r="A155" s="430" t="s">
        <v>102</v>
      </c>
      <c r="B155" s="459"/>
      <c r="C155" s="459" t="s">
        <v>768</v>
      </c>
      <c r="D155" s="459" t="s">
        <v>550</v>
      </c>
      <c r="E155" s="436" t="s">
        <v>501</v>
      </c>
      <c r="F155" s="459">
        <v>600</v>
      </c>
      <c r="G155" s="471">
        <v>800000</v>
      </c>
      <c r="H155" s="471">
        <v>800000</v>
      </c>
      <c r="J155" s="426"/>
      <c r="K155" s="426"/>
    </row>
    <row r="156" spans="1:11" ht="12.75">
      <c r="A156" s="466" t="s">
        <v>848</v>
      </c>
      <c r="B156" s="459"/>
      <c r="C156" s="459" t="s">
        <v>768</v>
      </c>
      <c r="D156" s="472" t="s">
        <v>219</v>
      </c>
      <c r="E156" s="461"/>
      <c r="F156" s="459"/>
      <c r="G156" s="470">
        <f aca="true" t="shared" si="15" ref="G156:H159">G157</f>
        <v>15685970.5</v>
      </c>
      <c r="H156" s="470">
        <f t="shared" si="15"/>
        <v>15195402.5</v>
      </c>
      <c r="J156" s="426"/>
      <c r="K156" s="426"/>
    </row>
    <row r="157" spans="1:11" ht="38.25">
      <c r="A157" s="434" t="s">
        <v>60</v>
      </c>
      <c r="B157" s="431"/>
      <c r="C157" s="431" t="s">
        <v>768</v>
      </c>
      <c r="D157" s="465" t="s">
        <v>219</v>
      </c>
      <c r="E157" s="436" t="s">
        <v>564</v>
      </c>
      <c r="F157" s="431"/>
      <c r="G157" s="429">
        <f t="shared" si="15"/>
        <v>15685970.5</v>
      </c>
      <c r="H157" s="429">
        <f t="shared" si="15"/>
        <v>15195402.5</v>
      </c>
      <c r="J157" s="426"/>
      <c r="K157" s="426"/>
    </row>
    <row r="158" spans="1:11" ht="51">
      <c r="A158" s="435" t="s">
        <v>809</v>
      </c>
      <c r="B158" s="431"/>
      <c r="C158" s="431" t="s">
        <v>768</v>
      </c>
      <c r="D158" s="465" t="s">
        <v>219</v>
      </c>
      <c r="E158" s="437" t="s">
        <v>638</v>
      </c>
      <c r="F158" s="432" t="s">
        <v>99</v>
      </c>
      <c r="G158" s="429">
        <f t="shared" si="15"/>
        <v>15685970.5</v>
      </c>
      <c r="H158" s="429">
        <f t="shared" si="15"/>
        <v>15195402.5</v>
      </c>
      <c r="J158" s="426"/>
      <c r="K158" s="426"/>
    </row>
    <row r="159" spans="1:11" ht="38.25">
      <c r="A159" s="22" t="s">
        <v>910</v>
      </c>
      <c r="B159" s="431"/>
      <c r="C159" s="431" t="s">
        <v>768</v>
      </c>
      <c r="D159" s="465" t="s">
        <v>219</v>
      </c>
      <c r="E159" s="436" t="s">
        <v>639</v>
      </c>
      <c r="F159" s="432"/>
      <c r="G159" s="429">
        <f t="shared" si="15"/>
        <v>15685970.5</v>
      </c>
      <c r="H159" s="429">
        <f t="shared" si="15"/>
        <v>15195402.5</v>
      </c>
      <c r="J159" s="426"/>
      <c r="K159" s="426"/>
    </row>
    <row r="160" spans="1:11" ht="25.5">
      <c r="A160" s="432" t="s">
        <v>126</v>
      </c>
      <c r="B160" s="431"/>
      <c r="C160" s="431" t="s">
        <v>768</v>
      </c>
      <c r="D160" s="465" t="s">
        <v>219</v>
      </c>
      <c r="E160" s="436" t="s">
        <v>640</v>
      </c>
      <c r="F160" s="431" t="s">
        <v>99</v>
      </c>
      <c r="G160" s="429">
        <f>SUM(G161:G163)</f>
        <v>15685970.5</v>
      </c>
      <c r="H160" s="429">
        <f>SUM(H161:H163)</f>
        <v>15195402.5</v>
      </c>
      <c r="J160" s="426"/>
      <c r="K160" s="426"/>
    </row>
    <row r="161" spans="1:11" ht="63.75">
      <c r="A161" s="430" t="s">
        <v>104</v>
      </c>
      <c r="B161" s="431"/>
      <c r="C161" s="431" t="s">
        <v>768</v>
      </c>
      <c r="D161" s="465" t="s">
        <v>219</v>
      </c>
      <c r="E161" s="436" t="s">
        <v>640</v>
      </c>
      <c r="F161" s="431">
        <v>100</v>
      </c>
      <c r="G161" s="433">
        <v>14986722</v>
      </c>
      <c r="H161" s="433">
        <v>14496154</v>
      </c>
      <c r="J161" s="426"/>
      <c r="K161" s="426"/>
    </row>
    <row r="162" spans="1:11" ht="25.5">
      <c r="A162" s="430" t="s">
        <v>482</v>
      </c>
      <c r="B162" s="431"/>
      <c r="C162" s="431" t="s">
        <v>768</v>
      </c>
      <c r="D162" s="465" t="s">
        <v>219</v>
      </c>
      <c r="E162" s="436" t="s">
        <v>640</v>
      </c>
      <c r="F162" s="431">
        <v>200</v>
      </c>
      <c r="G162" s="433">
        <f>517940.5+47565</f>
        <v>565505.5</v>
      </c>
      <c r="H162" s="433">
        <f>517940.5+47565</f>
        <v>565505.5</v>
      </c>
      <c r="J162" s="426"/>
      <c r="K162" s="426"/>
    </row>
    <row r="163" spans="1:11" ht="12.75">
      <c r="A163" s="430" t="s">
        <v>89</v>
      </c>
      <c r="B163" s="431"/>
      <c r="C163" s="431" t="s">
        <v>768</v>
      </c>
      <c r="D163" s="465" t="s">
        <v>219</v>
      </c>
      <c r="E163" s="436" t="s">
        <v>640</v>
      </c>
      <c r="F163" s="431">
        <v>800</v>
      </c>
      <c r="G163" s="433">
        <v>133743</v>
      </c>
      <c r="H163" s="433">
        <v>133743</v>
      </c>
      <c r="J163" s="426"/>
      <c r="K163" s="426"/>
    </row>
    <row r="164" spans="1:11" ht="12.75">
      <c r="A164" s="427" t="s">
        <v>849</v>
      </c>
      <c r="B164" s="428"/>
      <c r="C164" s="428" t="s">
        <v>768</v>
      </c>
      <c r="D164" s="428" t="s">
        <v>768</v>
      </c>
      <c r="E164" s="428" t="s">
        <v>99</v>
      </c>
      <c r="F164" s="428" t="s">
        <v>99</v>
      </c>
      <c r="G164" s="470">
        <f>G165</f>
        <v>866600</v>
      </c>
      <c r="H164" s="470">
        <f>H165</f>
        <v>866600</v>
      </c>
      <c r="J164" s="426"/>
      <c r="K164" s="426"/>
    </row>
    <row r="165" spans="1:11" ht="63.75">
      <c r="A165" s="434" t="s">
        <v>313</v>
      </c>
      <c r="B165" s="431"/>
      <c r="C165" s="431" t="s">
        <v>768</v>
      </c>
      <c r="D165" s="431" t="s">
        <v>768</v>
      </c>
      <c r="E165" s="436" t="s">
        <v>312</v>
      </c>
      <c r="F165" s="431" t="s">
        <v>99</v>
      </c>
      <c r="G165" s="429">
        <f>G166</f>
        <v>866600</v>
      </c>
      <c r="H165" s="429">
        <f>H166</f>
        <v>866600</v>
      </c>
      <c r="J165" s="426"/>
      <c r="K165" s="426"/>
    </row>
    <row r="166" spans="1:11" ht="89.25">
      <c r="A166" s="15" t="s">
        <v>526</v>
      </c>
      <c r="B166" s="431"/>
      <c r="C166" s="431" t="s">
        <v>768</v>
      </c>
      <c r="D166" s="431" t="s">
        <v>768</v>
      </c>
      <c r="E166" s="437" t="s">
        <v>629</v>
      </c>
      <c r="F166" s="432" t="s">
        <v>99</v>
      </c>
      <c r="G166" s="429">
        <f>G167+G173</f>
        <v>866600</v>
      </c>
      <c r="H166" s="429">
        <f>H167+H173</f>
        <v>866600</v>
      </c>
      <c r="J166" s="426"/>
      <c r="K166" s="426"/>
    </row>
    <row r="167" spans="1:11" ht="25.5">
      <c r="A167" s="25" t="s">
        <v>628</v>
      </c>
      <c r="B167" s="431"/>
      <c r="C167" s="431" t="s">
        <v>768</v>
      </c>
      <c r="D167" s="431" t="s">
        <v>768</v>
      </c>
      <c r="E167" s="436" t="s">
        <v>627</v>
      </c>
      <c r="F167" s="432"/>
      <c r="G167" s="429">
        <f>G168+G170</f>
        <v>856600</v>
      </c>
      <c r="H167" s="429">
        <f>H168+H170</f>
        <v>856600</v>
      </c>
      <c r="J167" s="426"/>
      <c r="K167" s="426"/>
    </row>
    <row r="168" spans="1:11" ht="12.75">
      <c r="A168" s="25" t="s">
        <v>626</v>
      </c>
      <c r="B168" s="431"/>
      <c r="C168" s="431" t="s">
        <v>768</v>
      </c>
      <c r="D168" s="431" t="s">
        <v>768</v>
      </c>
      <c r="E168" s="436" t="s">
        <v>625</v>
      </c>
      <c r="F168" s="432"/>
      <c r="G168" s="429">
        <f>G169</f>
        <v>12000</v>
      </c>
      <c r="H168" s="429">
        <f>H169</f>
        <v>12000</v>
      </c>
      <c r="J168" s="426"/>
      <c r="K168" s="426"/>
    </row>
    <row r="169" spans="1:11" ht="38.25">
      <c r="A169" s="430" t="s">
        <v>102</v>
      </c>
      <c r="B169" s="431"/>
      <c r="C169" s="431" t="s">
        <v>768</v>
      </c>
      <c r="D169" s="431" t="s">
        <v>768</v>
      </c>
      <c r="E169" s="436" t="s">
        <v>625</v>
      </c>
      <c r="F169" s="432">
        <v>600</v>
      </c>
      <c r="G169" s="433">
        <v>12000</v>
      </c>
      <c r="H169" s="433">
        <v>12000</v>
      </c>
      <c r="J169" s="426"/>
      <c r="K169" s="426"/>
    </row>
    <row r="170" spans="1:11" ht="25.5">
      <c r="A170" s="30" t="s">
        <v>131</v>
      </c>
      <c r="B170" s="431"/>
      <c r="C170" s="431" t="s">
        <v>768</v>
      </c>
      <c r="D170" s="431" t="s">
        <v>768</v>
      </c>
      <c r="E170" s="436" t="s">
        <v>132</v>
      </c>
      <c r="F170" s="432"/>
      <c r="G170" s="429">
        <f>G171+G172</f>
        <v>844600</v>
      </c>
      <c r="H170" s="429">
        <f>H171+H172</f>
        <v>844600</v>
      </c>
      <c r="J170" s="426"/>
      <c r="K170" s="426"/>
    </row>
    <row r="171" spans="1:11" ht="25.5">
      <c r="A171" s="430" t="s">
        <v>93</v>
      </c>
      <c r="B171" s="431"/>
      <c r="C171" s="431" t="s">
        <v>768</v>
      </c>
      <c r="D171" s="431" t="s">
        <v>768</v>
      </c>
      <c r="E171" s="436" t="s">
        <v>132</v>
      </c>
      <c r="F171" s="432">
        <v>300</v>
      </c>
      <c r="G171" s="429">
        <v>460355</v>
      </c>
      <c r="H171" s="429">
        <v>460355</v>
      </c>
      <c r="J171" s="426"/>
      <c r="K171" s="426"/>
    </row>
    <row r="172" spans="1:11" ht="38.25">
      <c r="A172" s="430" t="s">
        <v>102</v>
      </c>
      <c r="B172" s="431"/>
      <c r="C172" s="431" t="s">
        <v>768</v>
      </c>
      <c r="D172" s="431" t="s">
        <v>768</v>
      </c>
      <c r="E172" s="436" t="s">
        <v>132</v>
      </c>
      <c r="F172" s="432">
        <v>600</v>
      </c>
      <c r="G172" s="433">
        <v>384245</v>
      </c>
      <c r="H172" s="433">
        <v>384245</v>
      </c>
      <c r="J172" s="426"/>
      <c r="K172" s="426"/>
    </row>
    <row r="173" spans="1:11" ht="51">
      <c r="A173" s="26" t="s">
        <v>72</v>
      </c>
      <c r="B173" s="459"/>
      <c r="C173" s="459" t="s">
        <v>768</v>
      </c>
      <c r="D173" s="459" t="s">
        <v>768</v>
      </c>
      <c r="E173" s="461" t="s">
        <v>73</v>
      </c>
      <c r="F173" s="473"/>
      <c r="G173" s="429">
        <f>G174</f>
        <v>10000</v>
      </c>
      <c r="H173" s="429">
        <f>H174</f>
        <v>10000</v>
      </c>
      <c r="J173" s="426"/>
      <c r="K173" s="426"/>
    </row>
    <row r="174" spans="1:11" ht="25.5">
      <c r="A174" s="26" t="s">
        <v>75</v>
      </c>
      <c r="B174" s="459"/>
      <c r="C174" s="459" t="s">
        <v>768</v>
      </c>
      <c r="D174" s="459" t="s">
        <v>768</v>
      </c>
      <c r="E174" s="461" t="s">
        <v>74</v>
      </c>
      <c r="F174" s="473"/>
      <c r="G174" s="429">
        <f>G175</f>
        <v>10000</v>
      </c>
      <c r="H174" s="429">
        <f>H175</f>
        <v>10000</v>
      </c>
      <c r="J174" s="426"/>
      <c r="K174" s="426"/>
    </row>
    <row r="175" spans="1:11" ht="25.5">
      <c r="A175" s="462" t="s">
        <v>482</v>
      </c>
      <c r="B175" s="459"/>
      <c r="C175" s="459" t="s">
        <v>768</v>
      </c>
      <c r="D175" s="459" t="s">
        <v>768</v>
      </c>
      <c r="E175" s="461" t="s">
        <v>74</v>
      </c>
      <c r="F175" s="473">
        <v>200</v>
      </c>
      <c r="G175" s="471">
        <v>10000</v>
      </c>
      <c r="H175" s="471">
        <v>10000</v>
      </c>
      <c r="J175" s="426"/>
      <c r="K175" s="426"/>
    </row>
    <row r="176" spans="1:11" ht="12.75">
      <c r="A176" s="427" t="s">
        <v>571</v>
      </c>
      <c r="B176" s="428"/>
      <c r="C176" s="428" t="s">
        <v>768</v>
      </c>
      <c r="D176" s="428" t="s">
        <v>220</v>
      </c>
      <c r="E176" s="428" t="s">
        <v>99</v>
      </c>
      <c r="F176" s="428" t="s">
        <v>99</v>
      </c>
      <c r="G176" s="470">
        <f>G177</f>
        <v>3168020</v>
      </c>
      <c r="H176" s="470">
        <f>H177</f>
        <v>3077635</v>
      </c>
      <c r="J176" s="426"/>
      <c r="K176" s="426"/>
    </row>
    <row r="177" spans="1:11" ht="38.25">
      <c r="A177" s="434" t="s">
        <v>60</v>
      </c>
      <c r="B177" s="431"/>
      <c r="C177" s="431" t="s">
        <v>768</v>
      </c>
      <c r="D177" s="431" t="s">
        <v>220</v>
      </c>
      <c r="E177" s="436" t="s">
        <v>564</v>
      </c>
      <c r="F177" s="431" t="s">
        <v>99</v>
      </c>
      <c r="G177" s="429">
        <f>G178</f>
        <v>3168020</v>
      </c>
      <c r="H177" s="429">
        <f>H178</f>
        <v>3077635</v>
      </c>
      <c r="J177" s="426"/>
      <c r="K177" s="426"/>
    </row>
    <row r="178" spans="1:11" ht="51">
      <c r="A178" s="435" t="s">
        <v>810</v>
      </c>
      <c r="B178" s="431"/>
      <c r="C178" s="431" t="s">
        <v>768</v>
      </c>
      <c r="D178" s="431" t="s">
        <v>220</v>
      </c>
      <c r="E178" s="436" t="s">
        <v>641</v>
      </c>
      <c r="F178" s="432" t="s">
        <v>99</v>
      </c>
      <c r="G178" s="429">
        <f>G179+G182</f>
        <v>3168020</v>
      </c>
      <c r="H178" s="429">
        <f>H179+H182</f>
        <v>3077635</v>
      </c>
      <c r="J178" s="426"/>
      <c r="K178" s="426"/>
    </row>
    <row r="179" spans="1:11" ht="51">
      <c r="A179" s="22" t="s">
        <v>911</v>
      </c>
      <c r="B179" s="431"/>
      <c r="C179" s="431" t="s">
        <v>768</v>
      </c>
      <c r="D179" s="431" t="s">
        <v>220</v>
      </c>
      <c r="E179" s="436" t="s">
        <v>642</v>
      </c>
      <c r="F179" s="432"/>
      <c r="G179" s="429">
        <f>G180</f>
        <v>221676</v>
      </c>
      <c r="H179" s="429">
        <f>H180</f>
        <v>221676</v>
      </c>
      <c r="J179" s="426"/>
      <c r="K179" s="426"/>
    </row>
    <row r="180" spans="1:11" ht="38.25">
      <c r="A180" s="430" t="s">
        <v>260</v>
      </c>
      <c r="B180" s="431"/>
      <c r="C180" s="431" t="s">
        <v>768</v>
      </c>
      <c r="D180" s="431" t="s">
        <v>220</v>
      </c>
      <c r="E180" s="436" t="s">
        <v>643</v>
      </c>
      <c r="F180" s="431"/>
      <c r="G180" s="429">
        <f>G181</f>
        <v>221676</v>
      </c>
      <c r="H180" s="429">
        <f>H181</f>
        <v>221676</v>
      </c>
      <c r="J180" s="426"/>
      <c r="K180" s="426"/>
    </row>
    <row r="181" spans="1:11" ht="63.75">
      <c r="A181" s="430" t="s">
        <v>104</v>
      </c>
      <c r="B181" s="431"/>
      <c r="C181" s="431" t="s">
        <v>768</v>
      </c>
      <c r="D181" s="431" t="s">
        <v>220</v>
      </c>
      <c r="E181" s="436" t="s">
        <v>643</v>
      </c>
      <c r="F181" s="431">
        <v>100</v>
      </c>
      <c r="G181" s="433">
        <v>221676</v>
      </c>
      <c r="H181" s="433">
        <v>221676</v>
      </c>
      <c r="J181" s="426"/>
      <c r="K181" s="426"/>
    </row>
    <row r="182" spans="1:11" ht="38.25">
      <c r="A182" s="25" t="s">
        <v>661</v>
      </c>
      <c r="B182" s="431"/>
      <c r="C182" s="431" t="s">
        <v>768</v>
      </c>
      <c r="D182" s="431" t="s">
        <v>220</v>
      </c>
      <c r="E182" s="436" t="s">
        <v>645</v>
      </c>
      <c r="F182" s="431"/>
      <c r="G182" s="429">
        <f>G183</f>
        <v>2946344</v>
      </c>
      <c r="H182" s="429">
        <f>H183</f>
        <v>2855959</v>
      </c>
      <c r="J182" s="426"/>
      <c r="K182" s="426"/>
    </row>
    <row r="183" spans="1:11" ht="25.5">
      <c r="A183" s="432" t="s">
        <v>126</v>
      </c>
      <c r="B183" s="431"/>
      <c r="C183" s="431" t="s">
        <v>768</v>
      </c>
      <c r="D183" s="431" t="s">
        <v>220</v>
      </c>
      <c r="E183" s="436" t="s">
        <v>646</v>
      </c>
      <c r="F183" s="431" t="s">
        <v>99</v>
      </c>
      <c r="G183" s="429">
        <f>SUM(G184:G186)</f>
        <v>2946344</v>
      </c>
      <c r="H183" s="429">
        <f>SUM(H184:H186)</f>
        <v>2855959</v>
      </c>
      <c r="J183" s="426"/>
      <c r="K183" s="426"/>
    </row>
    <row r="184" spans="1:11" ht="63.75">
      <c r="A184" s="430" t="s">
        <v>104</v>
      </c>
      <c r="B184" s="431"/>
      <c r="C184" s="431" t="s">
        <v>768</v>
      </c>
      <c r="D184" s="431" t="s">
        <v>220</v>
      </c>
      <c r="E184" s="436" t="s">
        <v>646</v>
      </c>
      <c r="F184" s="431" t="s">
        <v>27</v>
      </c>
      <c r="G184" s="433">
        <v>2761238</v>
      </c>
      <c r="H184" s="433">
        <v>2670853</v>
      </c>
      <c r="J184" s="426"/>
      <c r="K184" s="426"/>
    </row>
    <row r="185" spans="1:11" ht="25.5">
      <c r="A185" s="430" t="s">
        <v>482</v>
      </c>
      <c r="B185" s="431"/>
      <c r="C185" s="431" t="s">
        <v>768</v>
      </c>
      <c r="D185" s="431" t="s">
        <v>220</v>
      </c>
      <c r="E185" s="436" t="s">
        <v>646</v>
      </c>
      <c r="F185" s="431" t="s">
        <v>600</v>
      </c>
      <c r="G185" s="433">
        <f>176751+6855</f>
        <v>183606</v>
      </c>
      <c r="H185" s="433">
        <f>176751+6855</f>
        <v>183606</v>
      </c>
      <c r="J185" s="426"/>
      <c r="K185" s="426"/>
    </row>
    <row r="186" spans="1:11" ht="12.75">
      <c r="A186" s="430" t="s">
        <v>89</v>
      </c>
      <c r="B186" s="431"/>
      <c r="C186" s="431" t="s">
        <v>768</v>
      </c>
      <c r="D186" s="431" t="s">
        <v>220</v>
      </c>
      <c r="E186" s="436" t="s">
        <v>646</v>
      </c>
      <c r="F186" s="431">
        <v>800</v>
      </c>
      <c r="G186" s="433">
        <v>1500</v>
      </c>
      <c r="H186" s="433">
        <v>1500</v>
      </c>
      <c r="J186" s="426"/>
      <c r="K186" s="426"/>
    </row>
    <row r="187" spans="1:11" ht="12.75">
      <c r="A187" s="422" t="s">
        <v>503</v>
      </c>
      <c r="B187" s="423"/>
      <c r="C187" s="423" t="s">
        <v>560</v>
      </c>
      <c r="D187" s="453" t="s">
        <v>912</v>
      </c>
      <c r="E187" s="423" t="s">
        <v>99</v>
      </c>
      <c r="F187" s="423" t="s">
        <v>99</v>
      </c>
      <c r="G187" s="425">
        <f>G188+G200</f>
        <v>14943370.5</v>
      </c>
      <c r="H187" s="425">
        <f>H188+H200</f>
        <v>14575580.5</v>
      </c>
      <c r="J187" s="426"/>
      <c r="K187" s="426"/>
    </row>
    <row r="188" spans="1:11" ht="12.75">
      <c r="A188" s="427" t="s">
        <v>572</v>
      </c>
      <c r="B188" s="428"/>
      <c r="C188" s="428" t="s">
        <v>560</v>
      </c>
      <c r="D188" s="428" t="s">
        <v>548</v>
      </c>
      <c r="E188" s="428" t="s">
        <v>99</v>
      </c>
      <c r="F188" s="428" t="s">
        <v>99</v>
      </c>
      <c r="G188" s="429">
        <f>G189</f>
        <v>14923370.5</v>
      </c>
      <c r="H188" s="429">
        <f>H189</f>
        <v>14555580.5</v>
      </c>
      <c r="J188" s="426"/>
      <c r="K188" s="426"/>
    </row>
    <row r="189" spans="1:11" ht="25.5">
      <c r="A189" s="434" t="s">
        <v>821</v>
      </c>
      <c r="B189" s="431"/>
      <c r="C189" s="431" t="s">
        <v>560</v>
      </c>
      <c r="D189" s="431" t="s">
        <v>548</v>
      </c>
      <c r="E189" s="436" t="s">
        <v>647</v>
      </c>
      <c r="F189" s="431" t="s">
        <v>99</v>
      </c>
      <c r="G189" s="429">
        <f>G190+G196</f>
        <v>14923370.5</v>
      </c>
      <c r="H189" s="429">
        <f>H190+H196</f>
        <v>14555580.5</v>
      </c>
      <c r="J189" s="426"/>
      <c r="K189" s="426"/>
    </row>
    <row r="190" spans="1:11" ht="25.5">
      <c r="A190" s="466" t="s">
        <v>21</v>
      </c>
      <c r="B190" s="431"/>
      <c r="C190" s="431" t="s">
        <v>560</v>
      </c>
      <c r="D190" s="431" t="s">
        <v>548</v>
      </c>
      <c r="E190" s="436" t="s">
        <v>648</v>
      </c>
      <c r="F190" s="432" t="s">
        <v>99</v>
      </c>
      <c r="G190" s="429">
        <f>G191</f>
        <v>2897465.5</v>
      </c>
      <c r="H190" s="429">
        <f>H191</f>
        <v>2808625.5</v>
      </c>
      <c r="J190" s="426"/>
      <c r="K190" s="426"/>
    </row>
    <row r="191" spans="1:11" ht="25.5">
      <c r="A191" s="23" t="s">
        <v>624</v>
      </c>
      <c r="B191" s="431"/>
      <c r="C191" s="431" t="s">
        <v>560</v>
      </c>
      <c r="D191" s="431" t="s">
        <v>548</v>
      </c>
      <c r="E191" s="436" t="s">
        <v>649</v>
      </c>
      <c r="F191" s="432"/>
      <c r="G191" s="429">
        <f>G192</f>
        <v>2897465.5</v>
      </c>
      <c r="H191" s="429">
        <f>H192</f>
        <v>2808625.5</v>
      </c>
      <c r="J191" s="426"/>
      <c r="K191" s="426"/>
    </row>
    <row r="192" spans="1:11" ht="25.5">
      <c r="A192" s="432" t="s">
        <v>516</v>
      </c>
      <c r="B192" s="431"/>
      <c r="C192" s="431" t="s">
        <v>560</v>
      </c>
      <c r="D192" s="431" t="s">
        <v>548</v>
      </c>
      <c r="E192" s="436" t="s">
        <v>650</v>
      </c>
      <c r="F192" s="431" t="s">
        <v>99</v>
      </c>
      <c r="G192" s="429">
        <f>SUM(G193:G195)</f>
        <v>2897465.5</v>
      </c>
      <c r="H192" s="429">
        <f>SUM(H193:H195)</f>
        <v>2808625.5</v>
      </c>
      <c r="J192" s="426"/>
      <c r="K192" s="426"/>
    </row>
    <row r="193" spans="1:11" ht="63.75">
      <c r="A193" s="430" t="s">
        <v>104</v>
      </c>
      <c r="B193" s="431"/>
      <c r="C193" s="431" t="s">
        <v>560</v>
      </c>
      <c r="D193" s="431" t="s">
        <v>548</v>
      </c>
      <c r="E193" s="436" t="s">
        <v>650</v>
      </c>
      <c r="F193" s="431">
        <v>100</v>
      </c>
      <c r="G193" s="433">
        <v>2714027</v>
      </c>
      <c r="H193" s="433">
        <v>2625187</v>
      </c>
      <c r="J193" s="426"/>
      <c r="K193" s="426"/>
    </row>
    <row r="194" spans="1:11" ht="25.5">
      <c r="A194" s="430" t="s">
        <v>482</v>
      </c>
      <c r="B194" s="431"/>
      <c r="C194" s="431" t="s">
        <v>560</v>
      </c>
      <c r="D194" s="431" t="s">
        <v>548</v>
      </c>
      <c r="E194" s="436" t="s">
        <v>650</v>
      </c>
      <c r="F194" s="431">
        <v>200</v>
      </c>
      <c r="G194" s="433">
        <f>135272+12872</f>
        <v>148144</v>
      </c>
      <c r="H194" s="433">
        <f>135272+12872</f>
        <v>148144</v>
      </c>
      <c r="J194" s="426"/>
      <c r="K194" s="426"/>
    </row>
    <row r="195" spans="1:11" ht="12.75">
      <c r="A195" s="430" t="s">
        <v>89</v>
      </c>
      <c r="B195" s="431"/>
      <c r="C195" s="431" t="s">
        <v>560</v>
      </c>
      <c r="D195" s="431" t="s">
        <v>548</v>
      </c>
      <c r="E195" s="436" t="s">
        <v>650</v>
      </c>
      <c r="F195" s="431">
        <v>800</v>
      </c>
      <c r="G195" s="433">
        <v>35294.5</v>
      </c>
      <c r="H195" s="433">
        <v>35294.5</v>
      </c>
      <c r="J195" s="426"/>
      <c r="K195" s="426"/>
    </row>
    <row r="196" spans="1:11" ht="25.5">
      <c r="A196" s="435" t="s">
        <v>22</v>
      </c>
      <c r="B196" s="431"/>
      <c r="C196" s="431" t="s">
        <v>560</v>
      </c>
      <c r="D196" s="431" t="s">
        <v>548</v>
      </c>
      <c r="E196" s="436" t="s">
        <v>651</v>
      </c>
      <c r="F196" s="432"/>
      <c r="G196" s="429">
        <f aca="true" t="shared" si="16" ref="G196:H198">G197</f>
        <v>12025905</v>
      </c>
      <c r="H196" s="429">
        <f t="shared" si="16"/>
        <v>11746955</v>
      </c>
      <c r="J196" s="426"/>
      <c r="K196" s="426"/>
    </row>
    <row r="197" spans="1:11" ht="51">
      <c r="A197" s="23" t="s">
        <v>400</v>
      </c>
      <c r="B197" s="431"/>
      <c r="C197" s="431" t="s">
        <v>560</v>
      </c>
      <c r="D197" s="431" t="s">
        <v>548</v>
      </c>
      <c r="E197" s="436" t="s">
        <v>652</v>
      </c>
      <c r="F197" s="432"/>
      <c r="G197" s="429">
        <f t="shared" si="16"/>
        <v>12025905</v>
      </c>
      <c r="H197" s="429">
        <f t="shared" si="16"/>
        <v>11746955</v>
      </c>
      <c r="J197" s="426"/>
      <c r="K197" s="426"/>
    </row>
    <row r="198" spans="1:11" ht="25.5">
      <c r="A198" s="432" t="s">
        <v>516</v>
      </c>
      <c r="B198" s="431"/>
      <c r="C198" s="431" t="s">
        <v>560</v>
      </c>
      <c r="D198" s="431" t="s">
        <v>548</v>
      </c>
      <c r="E198" s="436" t="s">
        <v>653</v>
      </c>
      <c r="F198" s="432"/>
      <c r="G198" s="429">
        <f t="shared" si="16"/>
        <v>12025905</v>
      </c>
      <c r="H198" s="429">
        <f t="shared" si="16"/>
        <v>11746955</v>
      </c>
      <c r="J198" s="426"/>
      <c r="K198" s="426"/>
    </row>
    <row r="199" spans="1:11" ht="38.25">
      <c r="A199" s="430" t="s">
        <v>102</v>
      </c>
      <c r="B199" s="431"/>
      <c r="C199" s="431" t="s">
        <v>560</v>
      </c>
      <c r="D199" s="431" t="s">
        <v>548</v>
      </c>
      <c r="E199" s="436" t="s">
        <v>653</v>
      </c>
      <c r="F199" s="432">
        <v>600</v>
      </c>
      <c r="G199" s="433">
        <v>12025905</v>
      </c>
      <c r="H199" s="433">
        <f>9674864+1904443+167648</f>
        <v>11746955</v>
      </c>
      <c r="J199" s="426"/>
      <c r="K199" s="426"/>
    </row>
    <row r="200" spans="1:11" ht="25.5">
      <c r="A200" s="435" t="s">
        <v>623</v>
      </c>
      <c r="B200" s="465"/>
      <c r="C200" s="465" t="s">
        <v>560</v>
      </c>
      <c r="D200" s="465" t="s">
        <v>551</v>
      </c>
      <c r="E200" s="436"/>
      <c r="F200" s="432"/>
      <c r="G200" s="429">
        <f aca="true" t="shared" si="17" ref="G200:H204">G201</f>
        <v>20000</v>
      </c>
      <c r="H200" s="429">
        <f t="shared" si="17"/>
        <v>20000</v>
      </c>
      <c r="J200" s="426"/>
      <c r="K200" s="426"/>
    </row>
    <row r="201" spans="1:11" ht="25.5">
      <c r="A201" s="434" t="s">
        <v>663</v>
      </c>
      <c r="B201" s="465"/>
      <c r="C201" s="465" t="s">
        <v>560</v>
      </c>
      <c r="D201" s="465" t="s">
        <v>551</v>
      </c>
      <c r="E201" s="436" t="s">
        <v>647</v>
      </c>
      <c r="F201" s="432"/>
      <c r="G201" s="429">
        <f t="shared" si="17"/>
        <v>20000</v>
      </c>
      <c r="H201" s="429">
        <f t="shared" si="17"/>
        <v>20000</v>
      </c>
      <c r="J201" s="426"/>
      <c r="K201" s="426"/>
    </row>
    <row r="202" spans="1:11" ht="25.5">
      <c r="A202" s="430" t="s">
        <v>22</v>
      </c>
      <c r="B202" s="465"/>
      <c r="C202" s="465" t="s">
        <v>560</v>
      </c>
      <c r="D202" s="465" t="s">
        <v>551</v>
      </c>
      <c r="E202" s="436" t="s">
        <v>651</v>
      </c>
      <c r="F202" s="432"/>
      <c r="G202" s="429">
        <f t="shared" si="17"/>
        <v>20000</v>
      </c>
      <c r="H202" s="429">
        <f t="shared" si="17"/>
        <v>20000</v>
      </c>
      <c r="J202" s="426"/>
      <c r="K202" s="426"/>
    </row>
    <row r="203" spans="1:11" ht="51">
      <c r="A203" s="23" t="s">
        <v>400</v>
      </c>
      <c r="B203" s="465"/>
      <c r="C203" s="465" t="s">
        <v>560</v>
      </c>
      <c r="D203" s="465" t="s">
        <v>551</v>
      </c>
      <c r="E203" s="436" t="s">
        <v>652</v>
      </c>
      <c r="F203" s="432"/>
      <c r="G203" s="429">
        <f t="shared" si="17"/>
        <v>20000</v>
      </c>
      <c r="H203" s="429">
        <f t="shared" si="17"/>
        <v>20000</v>
      </c>
      <c r="J203" s="426"/>
      <c r="K203" s="426"/>
    </row>
    <row r="204" spans="1:11" ht="36">
      <c r="A204" s="28" t="s">
        <v>622</v>
      </c>
      <c r="B204" s="465"/>
      <c r="C204" s="465" t="s">
        <v>560</v>
      </c>
      <c r="D204" s="465" t="s">
        <v>551</v>
      </c>
      <c r="E204" s="436" t="s">
        <v>585</v>
      </c>
      <c r="F204" s="432"/>
      <c r="G204" s="429">
        <f t="shared" si="17"/>
        <v>20000</v>
      </c>
      <c r="H204" s="429">
        <f t="shared" si="17"/>
        <v>20000</v>
      </c>
      <c r="J204" s="426"/>
      <c r="K204" s="426"/>
    </row>
    <row r="205" spans="1:11" ht="25.5">
      <c r="A205" s="455" t="s">
        <v>103</v>
      </c>
      <c r="B205" s="475"/>
      <c r="C205" s="475" t="s">
        <v>560</v>
      </c>
      <c r="D205" s="475" t="s">
        <v>551</v>
      </c>
      <c r="E205" s="457" t="s">
        <v>585</v>
      </c>
      <c r="F205" s="476">
        <v>200</v>
      </c>
      <c r="G205" s="458">
        <v>20000</v>
      </c>
      <c r="H205" s="458">
        <v>20000</v>
      </c>
      <c r="J205" s="426"/>
      <c r="K205" s="426"/>
    </row>
    <row r="206" spans="1:11" ht="12.75">
      <c r="A206" s="477" t="s">
        <v>850</v>
      </c>
      <c r="B206" s="478"/>
      <c r="C206" s="478" t="s">
        <v>220</v>
      </c>
      <c r="D206" s="478" t="s">
        <v>912</v>
      </c>
      <c r="E206" s="480"/>
      <c r="F206" s="481"/>
      <c r="G206" s="425">
        <f aca="true" t="shared" si="18" ref="G206:H210">G207</f>
        <v>657941</v>
      </c>
      <c r="H206" s="425">
        <f t="shared" si="18"/>
        <v>657941</v>
      </c>
      <c r="J206" s="426"/>
      <c r="K206" s="426"/>
    </row>
    <row r="207" spans="1:11" ht="12.75">
      <c r="A207" s="462" t="s">
        <v>851</v>
      </c>
      <c r="B207" s="472"/>
      <c r="C207" s="472" t="s">
        <v>220</v>
      </c>
      <c r="D207" s="472" t="s">
        <v>768</v>
      </c>
      <c r="E207" s="461"/>
      <c r="F207" s="473"/>
      <c r="G207" s="470">
        <f t="shared" si="18"/>
        <v>657941</v>
      </c>
      <c r="H207" s="470">
        <f t="shared" si="18"/>
        <v>657941</v>
      </c>
      <c r="J207" s="426"/>
      <c r="K207" s="426"/>
    </row>
    <row r="208" spans="1:11" ht="25.5">
      <c r="A208" s="434" t="s">
        <v>391</v>
      </c>
      <c r="B208" s="465"/>
      <c r="C208" s="465" t="s">
        <v>220</v>
      </c>
      <c r="D208" s="465" t="s">
        <v>768</v>
      </c>
      <c r="E208" s="436" t="s">
        <v>820</v>
      </c>
      <c r="F208" s="432"/>
      <c r="G208" s="429">
        <f t="shared" si="18"/>
        <v>657941</v>
      </c>
      <c r="H208" s="429">
        <f t="shared" si="18"/>
        <v>657941</v>
      </c>
      <c r="J208" s="426"/>
      <c r="K208" s="426"/>
    </row>
    <row r="209" spans="1:11" ht="25.5">
      <c r="A209" s="435" t="s">
        <v>392</v>
      </c>
      <c r="B209" s="465"/>
      <c r="C209" s="465" t="s">
        <v>220</v>
      </c>
      <c r="D209" s="465" t="s">
        <v>768</v>
      </c>
      <c r="E209" s="437" t="s">
        <v>822</v>
      </c>
      <c r="F209" s="432"/>
      <c r="G209" s="429">
        <f t="shared" si="18"/>
        <v>657941</v>
      </c>
      <c r="H209" s="429">
        <f t="shared" si="18"/>
        <v>657941</v>
      </c>
      <c r="J209" s="426"/>
      <c r="K209" s="426"/>
    </row>
    <row r="210" spans="1:11" ht="25.5">
      <c r="A210" s="32" t="s">
        <v>852</v>
      </c>
      <c r="B210" s="465"/>
      <c r="C210" s="465" t="s">
        <v>220</v>
      </c>
      <c r="D210" s="465" t="s">
        <v>768</v>
      </c>
      <c r="E210" s="436" t="s">
        <v>853</v>
      </c>
      <c r="F210" s="432"/>
      <c r="G210" s="429">
        <f t="shared" si="18"/>
        <v>657941</v>
      </c>
      <c r="H210" s="429">
        <f t="shared" si="18"/>
        <v>657941</v>
      </c>
      <c r="J210" s="426"/>
      <c r="K210" s="426"/>
    </row>
    <row r="211" spans="1:11" ht="25.5">
      <c r="A211" s="455" t="s">
        <v>103</v>
      </c>
      <c r="B211" s="475"/>
      <c r="C211" s="475" t="s">
        <v>220</v>
      </c>
      <c r="D211" s="475" t="s">
        <v>768</v>
      </c>
      <c r="E211" s="457" t="s">
        <v>853</v>
      </c>
      <c r="F211" s="476">
        <v>200</v>
      </c>
      <c r="G211" s="458">
        <v>657941</v>
      </c>
      <c r="H211" s="458">
        <v>657941</v>
      </c>
      <c r="J211" s="426"/>
      <c r="K211" s="426"/>
    </row>
    <row r="212" spans="1:11" ht="12.75">
      <c r="A212" s="422" t="s">
        <v>573</v>
      </c>
      <c r="B212" s="423"/>
      <c r="C212" s="423" t="s">
        <v>561</v>
      </c>
      <c r="D212" s="453" t="s">
        <v>912</v>
      </c>
      <c r="E212" s="423" t="s">
        <v>99</v>
      </c>
      <c r="F212" s="423" t="s">
        <v>99</v>
      </c>
      <c r="G212" s="469">
        <f>G214+G219</f>
        <v>3937872</v>
      </c>
      <c r="H212" s="469">
        <f>H214+H219</f>
        <v>3937872</v>
      </c>
      <c r="J212" s="426"/>
      <c r="K212" s="426"/>
    </row>
    <row r="213" spans="1:11" ht="12.75">
      <c r="A213" s="427" t="s">
        <v>181</v>
      </c>
      <c r="B213" s="464"/>
      <c r="C213" s="464">
        <v>10</v>
      </c>
      <c r="D213" s="482" t="s">
        <v>548</v>
      </c>
      <c r="E213" s="464"/>
      <c r="F213" s="464"/>
      <c r="G213" s="483">
        <v>30000</v>
      </c>
      <c r="H213" s="483">
        <v>30000</v>
      </c>
      <c r="J213" s="426"/>
      <c r="K213" s="426"/>
    </row>
    <row r="214" spans="1:11" ht="25.5">
      <c r="A214" s="434" t="s">
        <v>185</v>
      </c>
      <c r="B214" s="464"/>
      <c r="C214" s="431">
        <v>10</v>
      </c>
      <c r="D214" s="465" t="s">
        <v>548</v>
      </c>
      <c r="E214" s="436" t="s">
        <v>808</v>
      </c>
      <c r="F214" s="464"/>
      <c r="G214" s="433">
        <v>30000</v>
      </c>
      <c r="H214" s="433">
        <v>30000</v>
      </c>
      <c r="J214" s="426"/>
      <c r="K214" s="426"/>
    </row>
    <row r="215" spans="1:11" ht="51">
      <c r="A215" s="435" t="s">
        <v>186</v>
      </c>
      <c r="B215" s="464"/>
      <c r="C215" s="431">
        <v>10</v>
      </c>
      <c r="D215" s="465" t="s">
        <v>548</v>
      </c>
      <c r="E215" s="436" t="s">
        <v>668</v>
      </c>
      <c r="F215" s="464"/>
      <c r="G215" s="433">
        <v>30000</v>
      </c>
      <c r="H215" s="433">
        <v>30000</v>
      </c>
      <c r="J215" s="426"/>
      <c r="K215" s="426"/>
    </row>
    <row r="216" spans="1:11" ht="38.25">
      <c r="A216" s="23" t="s">
        <v>320</v>
      </c>
      <c r="B216" s="464"/>
      <c r="C216" s="431">
        <v>10</v>
      </c>
      <c r="D216" s="465" t="s">
        <v>548</v>
      </c>
      <c r="E216" s="436" t="s">
        <v>182</v>
      </c>
      <c r="F216" s="464"/>
      <c r="G216" s="433">
        <v>30000</v>
      </c>
      <c r="H216" s="433">
        <v>30000</v>
      </c>
      <c r="J216" s="426"/>
      <c r="K216" s="426"/>
    </row>
    <row r="217" spans="1:11" ht="25.5">
      <c r="A217" s="23" t="s">
        <v>184</v>
      </c>
      <c r="B217" s="464"/>
      <c r="C217" s="431">
        <v>10</v>
      </c>
      <c r="D217" s="465" t="s">
        <v>548</v>
      </c>
      <c r="E217" s="436" t="s">
        <v>183</v>
      </c>
      <c r="F217" s="464"/>
      <c r="G217" s="433">
        <v>30000</v>
      </c>
      <c r="H217" s="433">
        <v>30000</v>
      </c>
      <c r="J217" s="426"/>
      <c r="K217" s="426"/>
    </row>
    <row r="218" spans="1:11" ht="25.5">
      <c r="A218" s="430" t="s">
        <v>93</v>
      </c>
      <c r="B218" s="464"/>
      <c r="C218" s="431">
        <v>10</v>
      </c>
      <c r="D218" s="465" t="s">
        <v>548</v>
      </c>
      <c r="E218" s="436" t="s">
        <v>183</v>
      </c>
      <c r="F218" s="431">
        <v>300</v>
      </c>
      <c r="G218" s="433">
        <v>30000</v>
      </c>
      <c r="H218" s="433">
        <v>30000</v>
      </c>
      <c r="J218" s="426"/>
      <c r="K218" s="426"/>
    </row>
    <row r="219" spans="1:11" ht="12.75">
      <c r="A219" s="427" t="s">
        <v>575</v>
      </c>
      <c r="B219" s="428"/>
      <c r="C219" s="428" t="s">
        <v>561</v>
      </c>
      <c r="D219" s="428" t="s">
        <v>551</v>
      </c>
      <c r="E219" s="428" t="s">
        <v>99</v>
      </c>
      <c r="F219" s="428" t="s">
        <v>99</v>
      </c>
      <c r="G219" s="429">
        <f aca="true" t="shared" si="19" ref="G219:H222">G220</f>
        <v>3907872</v>
      </c>
      <c r="H219" s="429">
        <f t="shared" si="19"/>
        <v>3907872</v>
      </c>
      <c r="J219" s="426"/>
      <c r="K219" s="426"/>
    </row>
    <row r="220" spans="1:11" ht="38.25">
      <c r="A220" s="434" t="s">
        <v>60</v>
      </c>
      <c r="B220" s="431"/>
      <c r="C220" s="431">
        <v>10</v>
      </c>
      <c r="D220" s="431" t="s">
        <v>551</v>
      </c>
      <c r="E220" s="436" t="s">
        <v>564</v>
      </c>
      <c r="F220" s="431"/>
      <c r="G220" s="429">
        <f t="shared" si="19"/>
        <v>3907872</v>
      </c>
      <c r="H220" s="429">
        <f t="shared" si="19"/>
        <v>3907872</v>
      </c>
      <c r="J220" s="426"/>
      <c r="K220" s="426"/>
    </row>
    <row r="221" spans="1:11" ht="51">
      <c r="A221" s="435" t="s">
        <v>59</v>
      </c>
      <c r="B221" s="431"/>
      <c r="C221" s="431">
        <v>10</v>
      </c>
      <c r="D221" s="431" t="s">
        <v>551</v>
      </c>
      <c r="E221" s="437" t="s">
        <v>565</v>
      </c>
      <c r="F221" s="431"/>
      <c r="G221" s="429">
        <f t="shared" si="19"/>
        <v>3907872</v>
      </c>
      <c r="H221" s="429">
        <f t="shared" si="19"/>
        <v>3907872</v>
      </c>
      <c r="J221" s="426"/>
      <c r="K221" s="426"/>
    </row>
    <row r="222" spans="1:11" ht="25.5">
      <c r="A222" s="24" t="s">
        <v>907</v>
      </c>
      <c r="B222" s="431"/>
      <c r="C222" s="431">
        <v>10</v>
      </c>
      <c r="D222" s="431" t="s">
        <v>551</v>
      </c>
      <c r="E222" s="437" t="s">
        <v>141</v>
      </c>
      <c r="F222" s="431"/>
      <c r="G222" s="429">
        <f t="shared" si="19"/>
        <v>3907872</v>
      </c>
      <c r="H222" s="429">
        <f t="shared" si="19"/>
        <v>3907872</v>
      </c>
      <c r="J222" s="426"/>
      <c r="K222" s="426"/>
    </row>
    <row r="223" spans="1:11" ht="12.75">
      <c r="A223" s="430" t="s">
        <v>658</v>
      </c>
      <c r="B223" s="431"/>
      <c r="C223" s="431">
        <v>10</v>
      </c>
      <c r="D223" s="431" t="s">
        <v>551</v>
      </c>
      <c r="E223" s="436" t="s">
        <v>413</v>
      </c>
      <c r="F223" s="431"/>
      <c r="G223" s="429">
        <f>SUM(G224:G225)</f>
        <v>3907872</v>
      </c>
      <c r="H223" s="429">
        <f>SUM(H224:H225)</f>
        <v>3907872</v>
      </c>
      <c r="J223" s="426"/>
      <c r="K223" s="426"/>
    </row>
    <row r="224" spans="1:11" ht="25.5">
      <c r="A224" s="430" t="s">
        <v>482</v>
      </c>
      <c r="B224" s="431"/>
      <c r="C224" s="431">
        <v>10</v>
      </c>
      <c r="D224" s="431" t="s">
        <v>551</v>
      </c>
      <c r="E224" s="436" t="s">
        <v>413</v>
      </c>
      <c r="F224" s="431">
        <v>200</v>
      </c>
      <c r="G224" s="433">
        <v>15570</v>
      </c>
      <c r="H224" s="433">
        <v>15570</v>
      </c>
      <c r="J224" s="426"/>
      <c r="K224" s="426"/>
    </row>
    <row r="225" spans="1:11" ht="25.5">
      <c r="A225" s="455" t="s">
        <v>93</v>
      </c>
      <c r="B225" s="456"/>
      <c r="C225" s="456">
        <v>10</v>
      </c>
      <c r="D225" s="456" t="s">
        <v>551</v>
      </c>
      <c r="E225" s="457" t="s">
        <v>413</v>
      </c>
      <c r="F225" s="456">
        <v>300</v>
      </c>
      <c r="G225" s="458">
        <v>3892302</v>
      </c>
      <c r="H225" s="458">
        <v>3892302</v>
      </c>
      <c r="J225" s="426"/>
      <c r="K225" s="426"/>
    </row>
    <row r="226" spans="1:11" ht="12.75">
      <c r="A226" s="422" t="s">
        <v>412</v>
      </c>
      <c r="B226" s="423"/>
      <c r="C226" s="423" t="s">
        <v>554</v>
      </c>
      <c r="D226" s="453" t="s">
        <v>912</v>
      </c>
      <c r="E226" s="423" t="s">
        <v>99</v>
      </c>
      <c r="F226" s="423" t="s">
        <v>99</v>
      </c>
      <c r="G226" s="485">
        <f aca="true" t="shared" si="20" ref="G226:H231">G227</f>
        <v>10352</v>
      </c>
      <c r="H226" s="485">
        <f t="shared" si="20"/>
        <v>10352</v>
      </c>
      <c r="J226" s="426"/>
      <c r="K226" s="426"/>
    </row>
    <row r="227" spans="1:11" ht="12.75">
      <c r="A227" s="427" t="s">
        <v>314</v>
      </c>
      <c r="B227" s="428"/>
      <c r="C227" s="428" t="s">
        <v>554</v>
      </c>
      <c r="D227" s="428" t="s">
        <v>550</v>
      </c>
      <c r="E227" s="428" t="s">
        <v>99</v>
      </c>
      <c r="F227" s="428" t="s">
        <v>99</v>
      </c>
      <c r="G227" s="429">
        <f t="shared" si="20"/>
        <v>10352</v>
      </c>
      <c r="H227" s="429">
        <f t="shared" si="20"/>
        <v>10352</v>
      </c>
      <c r="J227" s="426"/>
      <c r="K227" s="426"/>
    </row>
    <row r="228" spans="1:11" ht="63.75">
      <c r="A228" s="434" t="s">
        <v>313</v>
      </c>
      <c r="B228" s="431"/>
      <c r="C228" s="431" t="s">
        <v>554</v>
      </c>
      <c r="D228" s="431" t="s">
        <v>550</v>
      </c>
      <c r="E228" s="436" t="s">
        <v>312</v>
      </c>
      <c r="F228" s="438" t="s">
        <v>99</v>
      </c>
      <c r="G228" s="429">
        <f t="shared" si="20"/>
        <v>10352</v>
      </c>
      <c r="H228" s="429">
        <f t="shared" si="20"/>
        <v>10352</v>
      </c>
      <c r="J228" s="426"/>
      <c r="K228" s="426"/>
    </row>
    <row r="229" spans="1:11" ht="76.5">
      <c r="A229" s="435" t="s">
        <v>311</v>
      </c>
      <c r="B229" s="431"/>
      <c r="C229" s="431" t="s">
        <v>554</v>
      </c>
      <c r="D229" s="431" t="s">
        <v>550</v>
      </c>
      <c r="E229" s="436" t="s">
        <v>418</v>
      </c>
      <c r="F229" s="447" t="s">
        <v>99</v>
      </c>
      <c r="G229" s="429">
        <f t="shared" si="20"/>
        <v>10352</v>
      </c>
      <c r="H229" s="429">
        <f t="shared" si="20"/>
        <v>10352</v>
      </c>
      <c r="J229" s="426"/>
      <c r="K229" s="426"/>
    </row>
    <row r="230" spans="1:11" ht="63.75">
      <c r="A230" s="25" t="s">
        <v>417</v>
      </c>
      <c r="B230" s="431"/>
      <c r="C230" s="431" t="s">
        <v>554</v>
      </c>
      <c r="D230" s="431" t="s">
        <v>550</v>
      </c>
      <c r="E230" s="436" t="s">
        <v>416</v>
      </c>
      <c r="F230" s="447"/>
      <c r="G230" s="429">
        <f t="shared" si="20"/>
        <v>10352</v>
      </c>
      <c r="H230" s="429">
        <f t="shared" si="20"/>
        <v>10352</v>
      </c>
      <c r="J230" s="426"/>
      <c r="K230" s="426"/>
    </row>
    <row r="231" spans="1:11" ht="51">
      <c r="A231" s="25" t="s">
        <v>415</v>
      </c>
      <c r="B231" s="431"/>
      <c r="C231" s="431" t="s">
        <v>554</v>
      </c>
      <c r="D231" s="431" t="s">
        <v>550</v>
      </c>
      <c r="E231" s="436" t="s">
        <v>414</v>
      </c>
      <c r="F231" s="447"/>
      <c r="G231" s="429">
        <f t="shared" si="20"/>
        <v>10352</v>
      </c>
      <c r="H231" s="429">
        <f t="shared" si="20"/>
        <v>10352</v>
      </c>
      <c r="J231" s="426"/>
      <c r="K231" s="426"/>
    </row>
    <row r="232" spans="1:11" ht="25.5">
      <c r="A232" s="430" t="s">
        <v>482</v>
      </c>
      <c r="B232" s="431"/>
      <c r="C232" s="431" t="s">
        <v>554</v>
      </c>
      <c r="D232" s="431" t="s">
        <v>550</v>
      </c>
      <c r="E232" s="436" t="s">
        <v>414</v>
      </c>
      <c r="F232" s="432">
        <v>200</v>
      </c>
      <c r="G232" s="433">
        <v>10352</v>
      </c>
      <c r="H232" s="433">
        <v>10352</v>
      </c>
      <c r="J232" s="426"/>
      <c r="K232" s="426"/>
    </row>
    <row r="233" spans="1:11" ht="38.25">
      <c r="A233" s="513" t="s">
        <v>913</v>
      </c>
      <c r="B233" s="453" t="s">
        <v>660</v>
      </c>
      <c r="C233" s="514"/>
      <c r="D233" s="514"/>
      <c r="E233" s="480"/>
      <c r="F233" s="515"/>
      <c r="G233" s="469">
        <f>G234+G254+G262+G269+G305</f>
        <v>21065897</v>
      </c>
      <c r="H233" s="469">
        <f>H234+H254+H262+H269+H305</f>
        <v>20951222</v>
      </c>
      <c r="J233" s="426"/>
      <c r="K233" s="426"/>
    </row>
    <row r="234" spans="1:11" ht="12.75">
      <c r="A234" s="422" t="s">
        <v>28</v>
      </c>
      <c r="B234" s="423"/>
      <c r="C234" s="423" t="s">
        <v>548</v>
      </c>
      <c r="D234" s="453" t="s">
        <v>912</v>
      </c>
      <c r="E234" s="423" t="s">
        <v>99</v>
      </c>
      <c r="F234" s="423" t="s">
        <v>99</v>
      </c>
      <c r="G234" s="469">
        <f>G235+G243</f>
        <v>3736646</v>
      </c>
      <c r="H234" s="469">
        <f>H235+H243</f>
        <v>3649725</v>
      </c>
      <c r="J234" s="426"/>
      <c r="K234" s="426"/>
    </row>
    <row r="235" spans="1:11" ht="38.25">
      <c r="A235" s="427" t="s">
        <v>29</v>
      </c>
      <c r="B235" s="428"/>
      <c r="C235" s="428" t="s">
        <v>548</v>
      </c>
      <c r="D235" s="428" t="s">
        <v>552</v>
      </c>
      <c r="E235" s="428" t="s">
        <v>99</v>
      </c>
      <c r="F235" s="428" t="s">
        <v>99</v>
      </c>
      <c r="G235" s="429">
        <f aca="true" t="shared" si="21" ref="G235:H238">G236</f>
        <v>2724346</v>
      </c>
      <c r="H235" s="429">
        <f t="shared" si="21"/>
        <v>2637425</v>
      </c>
      <c r="J235" s="426"/>
      <c r="K235" s="426"/>
    </row>
    <row r="236" spans="1:11" ht="25.5">
      <c r="A236" s="434" t="s">
        <v>711</v>
      </c>
      <c r="B236" s="431"/>
      <c r="C236" s="431" t="s">
        <v>548</v>
      </c>
      <c r="D236" s="431" t="s">
        <v>552</v>
      </c>
      <c r="E236" s="431" t="s">
        <v>440</v>
      </c>
      <c r="F236" s="431" t="s">
        <v>99</v>
      </c>
      <c r="G236" s="429">
        <f t="shared" si="21"/>
        <v>2724346</v>
      </c>
      <c r="H236" s="429">
        <f t="shared" si="21"/>
        <v>2637425</v>
      </c>
      <c r="J236" s="426"/>
      <c r="K236" s="426"/>
    </row>
    <row r="237" spans="1:11" ht="51">
      <c r="A237" s="435" t="s">
        <v>713</v>
      </c>
      <c r="B237" s="431"/>
      <c r="C237" s="431" t="s">
        <v>548</v>
      </c>
      <c r="D237" s="431" t="s">
        <v>552</v>
      </c>
      <c r="E237" s="431" t="s">
        <v>441</v>
      </c>
      <c r="F237" s="432" t="s">
        <v>99</v>
      </c>
      <c r="G237" s="429">
        <f t="shared" si="21"/>
        <v>2724346</v>
      </c>
      <c r="H237" s="429">
        <f t="shared" si="21"/>
        <v>2637425</v>
      </c>
      <c r="J237" s="426"/>
      <c r="K237" s="426"/>
    </row>
    <row r="238" spans="1:11" ht="38.25">
      <c r="A238" s="22" t="s">
        <v>753</v>
      </c>
      <c r="B238" s="431"/>
      <c r="C238" s="431" t="s">
        <v>548</v>
      </c>
      <c r="D238" s="431" t="s">
        <v>552</v>
      </c>
      <c r="E238" s="431" t="s">
        <v>644</v>
      </c>
      <c r="F238" s="432"/>
      <c r="G238" s="429">
        <f t="shared" si="21"/>
        <v>2724346</v>
      </c>
      <c r="H238" s="429">
        <f t="shared" si="21"/>
        <v>2637425</v>
      </c>
      <c r="J238" s="426"/>
      <c r="K238" s="426"/>
    </row>
    <row r="239" spans="1:11" ht="25.5">
      <c r="A239" s="432" t="s">
        <v>514</v>
      </c>
      <c r="B239" s="431"/>
      <c r="C239" s="431" t="s">
        <v>548</v>
      </c>
      <c r="D239" s="431" t="s">
        <v>552</v>
      </c>
      <c r="E239" s="431" t="s">
        <v>442</v>
      </c>
      <c r="F239" s="431" t="s">
        <v>99</v>
      </c>
      <c r="G239" s="429">
        <f>SUM(G240:G242)</f>
        <v>2724346</v>
      </c>
      <c r="H239" s="429">
        <f>SUM(H240:H242)</f>
        <v>2637425</v>
      </c>
      <c r="J239" s="426"/>
      <c r="K239" s="426"/>
    </row>
    <row r="240" spans="1:11" ht="63.75">
      <c r="A240" s="430" t="s">
        <v>104</v>
      </c>
      <c r="B240" s="431"/>
      <c r="C240" s="431" t="s">
        <v>548</v>
      </c>
      <c r="D240" s="431" t="s">
        <v>552</v>
      </c>
      <c r="E240" s="431" t="s">
        <v>442</v>
      </c>
      <c r="F240" s="431">
        <v>100</v>
      </c>
      <c r="G240" s="433">
        <v>2655406</v>
      </c>
      <c r="H240" s="433">
        <f>2037254+531231</f>
        <v>2568485</v>
      </c>
      <c r="J240" s="426"/>
      <c r="K240" s="426"/>
    </row>
    <row r="241" spans="1:11" ht="25.5">
      <c r="A241" s="430" t="s">
        <v>482</v>
      </c>
      <c r="B241" s="431"/>
      <c r="C241" s="431" t="s">
        <v>548</v>
      </c>
      <c r="D241" s="431" t="s">
        <v>552</v>
      </c>
      <c r="E241" s="431" t="s">
        <v>442</v>
      </c>
      <c r="F241" s="431" t="s">
        <v>600</v>
      </c>
      <c r="G241" s="433">
        <v>62140</v>
      </c>
      <c r="H241" s="433">
        <v>62140</v>
      </c>
      <c r="J241" s="426"/>
      <c r="K241" s="426"/>
    </row>
    <row r="242" spans="1:11" ht="12.75">
      <c r="A242" s="430" t="s">
        <v>89</v>
      </c>
      <c r="B242" s="431"/>
      <c r="C242" s="431" t="s">
        <v>548</v>
      </c>
      <c r="D242" s="431" t="s">
        <v>552</v>
      </c>
      <c r="E242" s="431" t="s">
        <v>442</v>
      </c>
      <c r="F242" s="431" t="s">
        <v>90</v>
      </c>
      <c r="G242" s="433">
        <v>6800</v>
      </c>
      <c r="H242" s="433">
        <v>6800</v>
      </c>
      <c r="J242" s="426"/>
      <c r="K242" s="426"/>
    </row>
    <row r="243" spans="1:11" ht="12.75">
      <c r="A243" s="427" t="s">
        <v>470</v>
      </c>
      <c r="B243" s="428"/>
      <c r="C243" s="428" t="s">
        <v>548</v>
      </c>
      <c r="D243" s="428" t="s">
        <v>218</v>
      </c>
      <c r="E243" s="428" t="s">
        <v>99</v>
      </c>
      <c r="F243" s="428" t="s">
        <v>99</v>
      </c>
      <c r="G243" s="429">
        <f>G244</f>
        <v>1012300</v>
      </c>
      <c r="H243" s="429">
        <f>H244</f>
        <v>1012300</v>
      </c>
      <c r="J243" s="426"/>
      <c r="K243" s="426"/>
    </row>
    <row r="244" spans="1:11" ht="25.5">
      <c r="A244" s="434" t="s">
        <v>71</v>
      </c>
      <c r="B244" s="431"/>
      <c r="C244" s="431" t="s">
        <v>548</v>
      </c>
      <c r="D244" s="431" t="s">
        <v>218</v>
      </c>
      <c r="E244" s="431" t="s">
        <v>808</v>
      </c>
      <c r="F244" s="431" t="s">
        <v>99</v>
      </c>
      <c r="G244" s="429">
        <f>G245+G249</f>
        <v>1012300</v>
      </c>
      <c r="H244" s="429">
        <f>H245+H249</f>
        <v>1012300</v>
      </c>
      <c r="J244" s="426"/>
      <c r="K244" s="426"/>
    </row>
    <row r="245" spans="1:11" ht="51">
      <c r="A245" s="435" t="s">
        <v>389</v>
      </c>
      <c r="B245" s="431"/>
      <c r="C245" s="431" t="s">
        <v>548</v>
      </c>
      <c r="D245" s="431" t="s">
        <v>218</v>
      </c>
      <c r="E245" s="437" t="s">
        <v>812</v>
      </c>
      <c r="F245" s="432" t="s">
        <v>99</v>
      </c>
      <c r="G245" s="429">
        <f aca="true" t="shared" si="22" ref="G245:H247">G246</f>
        <v>124300</v>
      </c>
      <c r="H245" s="429">
        <f t="shared" si="22"/>
        <v>124300</v>
      </c>
      <c r="J245" s="426"/>
      <c r="K245" s="426"/>
    </row>
    <row r="246" spans="1:11" ht="51">
      <c r="A246" s="27" t="s">
        <v>898</v>
      </c>
      <c r="B246" s="431"/>
      <c r="C246" s="431" t="s">
        <v>548</v>
      </c>
      <c r="D246" s="431" t="s">
        <v>218</v>
      </c>
      <c r="E246" s="437" t="s">
        <v>142</v>
      </c>
      <c r="F246" s="432"/>
      <c r="G246" s="429">
        <f t="shared" si="22"/>
        <v>124300</v>
      </c>
      <c r="H246" s="429">
        <f t="shared" si="22"/>
        <v>124300</v>
      </c>
      <c r="J246" s="426"/>
      <c r="K246" s="426"/>
    </row>
    <row r="247" spans="1:11" ht="38.25">
      <c r="A247" s="432" t="s">
        <v>390</v>
      </c>
      <c r="B247" s="431"/>
      <c r="C247" s="431" t="s">
        <v>548</v>
      </c>
      <c r="D247" s="431" t="s">
        <v>218</v>
      </c>
      <c r="E247" s="436" t="s">
        <v>899</v>
      </c>
      <c r="F247" s="431" t="s">
        <v>99</v>
      </c>
      <c r="G247" s="429">
        <f t="shared" si="22"/>
        <v>124300</v>
      </c>
      <c r="H247" s="429">
        <f t="shared" si="22"/>
        <v>124300</v>
      </c>
      <c r="J247" s="426"/>
      <c r="K247" s="426"/>
    </row>
    <row r="248" spans="1:11" ht="38.25">
      <c r="A248" s="430" t="s">
        <v>102</v>
      </c>
      <c r="B248" s="431"/>
      <c r="C248" s="431" t="s">
        <v>548</v>
      </c>
      <c r="D248" s="431" t="s">
        <v>218</v>
      </c>
      <c r="E248" s="436" t="s">
        <v>899</v>
      </c>
      <c r="F248" s="431" t="s">
        <v>91</v>
      </c>
      <c r="G248" s="433">
        <v>124300</v>
      </c>
      <c r="H248" s="433">
        <v>124300</v>
      </c>
      <c r="J248" s="426"/>
      <c r="K248" s="426"/>
    </row>
    <row r="249" spans="1:11" ht="63.75">
      <c r="A249" s="435" t="s">
        <v>712</v>
      </c>
      <c r="B249" s="431"/>
      <c r="C249" s="431" t="s">
        <v>548</v>
      </c>
      <c r="D249" s="431" t="s">
        <v>218</v>
      </c>
      <c r="E249" s="431" t="s">
        <v>813</v>
      </c>
      <c r="F249" s="432" t="s">
        <v>99</v>
      </c>
      <c r="G249" s="429">
        <f>G250</f>
        <v>888000</v>
      </c>
      <c r="H249" s="429">
        <f>H250</f>
        <v>888000</v>
      </c>
      <c r="J249" s="426"/>
      <c r="K249" s="426"/>
    </row>
    <row r="250" spans="1:11" ht="51">
      <c r="A250" s="430" t="s">
        <v>23</v>
      </c>
      <c r="B250" s="431"/>
      <c r="C250" s="431" t="s">
        <v>548</v>
      </c>
      <c r="D250" s="431" t="s">
        <v>218</v>
      </c>
      <c r="E250" s="431" t="s">
        <v>754</v>
      </c>
      <c r="F250" s="432"/>
      <c r="G250" s="429">
        <f>G251</f>
        <v>888000</v>
      </c>
      <c r="H250" s="429">
        <f>H251</f>
        <v>888000</v>
      </c>
      <c r="J250" s="426"/>
      <c r="K250" s="426"/>
    </row>
    <row r="251" spans="1:11" ht="51">
      <c r="A251" s="432" t="s">
        <v>611</v>
      </c>
      <c r="B251" s="431"/>
      <c r="C251" s="431" t="s">
        <v>548</v>
      </c>
      <c r="D251" s="431" t="s">
        <v>218</v>
      </c>
      <c r="E251" s="436" t="s">
        <v>900</v>
      </c>
      <c r="F251" s="431"/>
      <c r="G251" s="429">
        <f>SUM(G252:G253)</f>
        <v>888000</v>
      </c>
      <c r="H251" s="429">
        <f>SUM(H252:H253)</f>
        <v>888000</v>
      </c>
      <c r="J251" s="426"/>
      <c r="K251" s="426"/>
    </row>
    <row r="252" spans="1:11" ht="63.75">
      <c r="A252" s="430" t="s">
        <v>104</v>
      </c>
      <c r="B252" s="431"/>
      <c r="C252" s="431" t="s">
        <v>548</v>
      </c>
      <c r="D252" s="431" t="s">
        <v>218</v>
      </c>
      <c r="E252" s="436" t="s">
        <v>900</v>
      </c>
      <c r="F252" s="431">
        <v>100</v>
      </c>
      <c r="G252" s="433">
        <v>829238</v>
      </c>
      <c r="H252" s="433">
        <v>829238</v>
      </c>
      <c r="J252" s="426"/>
      <c r="K252" s="426"/>
    </row>
    <row r="253" spans="1:11" ht="25.5">
      <c r="A253" s="430" t="s">
        <v>482</v>
      </c>
      <c r="B253" s="431"/>
      <c r="C253" s="431" t="s">
        <v>548</v>
      </c>
      <c r="D253" s="431" t="s">
        <v>218</v>
      </c>
      <c r="E253" s="436" t="s">
        <v>900</v>
      </c>
      <c r="F253" s="431" t="s">
        <v>600</v>
      </c>
      <c r="G253" s="433">
        <f>47362+11400</f>
        <v>58762</v>
      </c>
      <c r="H253" s="433">
        <f>47362+11400</f>
        <v>58762</v>
      </c>
      <c r="J253" s="426"/>
      <c r="K253" s="426"/>
    </row>
    <row r="254" spans="1:11" ht="12.75">
      <c r="A254" s="422" t="s">
        <v>506</v>
      </c>
      <c r="B254" s="423"/>
      <c r="C254" s="423" t="s">
        <v>551</v>
      </c>
      <c r="D254" s="453" t="s">
        <v>912</v>
      </c>
      <c r="E254" s="423" t="s">
        <v>99</v>
      </c>
      <c r="F254" s="423" t="s">
        <v>99</v>
      </c>
      <c r="G254" s="425">
        <f aca="true" t="shared" si="23" ref="G254:H258">G255</f>
        <v>296000</v>
      </c>
      <c r="H254" s="425">
        <f t="shared" si="23"/>
        <v>296000</v>
      </c>
      <c r="J254" s="426"/>
      <c r="K254" s="426"/>
    </row>
    <row r="255" spans="1:11" ht="12.75">
      <c r="A255" s="427" t="s">
        <v>507</v>
      </c>
      <c r="B255" s="428"/>
      <c r="C255" s="428" t="s">
        <v>551</v>
      </c>
      <c r="D255" s="428" t="s">
        <v>548</v>
      </c>
      <c r="E255" s="428" t="s">
        <v>99</v>
      </c>
      <c r="F255" s="428" t="s">
        <v>99</v>
      </c>
      <c r="G255" s="429">
        <f t="shared" si="23"/>
        <v>296000</v>
      </c>
      <c r="H255" s="429">
        <f t="shared" si="23"/>
        <v>296000</v>
      </c>
      <c r="J255" s="426"/>
      <c r="K255" s="426"/>
    </row>
    <row r="256" spans="1:11" ht="38.25">
      <c r="A256" s="434" t="s">
        <v>449</v>
      </c>
      <c r="B256" s="431"/>
      <c r="C256" s="431" t="s">
        <v>551</v>
      </c>
      <c r="D256" s="431" t="s">
        <v>548</v>
      </c>
      <c r="E256" s="436" t="s">
        <v>827</v>
      </c>
      <c r="F256" s="431" t="s">
        <v>99</v>
      </c>
      <c r="G256" s="429">
        <f t="shared" si="23"/>
        <v>296000</v>
      </c>
      <c r="H256" s="429">
        <f t="shared" si="23"/>
        <v>296000</v>
      </c>
      <c r="J256" s="426"/>
      <c r="K256" s="426"/>
    </row>
    <row r="257" spans="1:11" ht="51">
      <c r="A257" s="435" t="s">
        <v>20</v>
      </c>
      <c r="B257" s="431"/>
      <c r="C257" s="431" t="s">
        <v>551</v>
      </c>
      <c r="D257" s="431" t="s">
        <v>548</v>
      </c>
      <c r="E257" s="436" t="s">
        <v>833</v>
      </c>
      <c r="F257" s="431"/>
      <c r="G257" s="429">
        <f t="shared" si="23"/>
        <v>296000</v>
      </c>
      <c r="H257" s="429">
        <f t="shared" si="23"/>
        <v>296000</v>
      </c>
      <c r="J257" s="426"/>
      <c r="K257" s="426"/>
    </row>
    <row r="258" spans="1:11" ht="51">
      <c r="A258" s="22" t="s">
        <v>903</v>
      </c>
      <c r="B258" s="431"/>
      <c r="C258" s="431" t="s">
        <v>551</v>
      </c>
      <c r="D258" s="431" t="s">
        <v>548</v>
      </c>
      <c r="E258" s="436" t="s">
        <v>834</v>
      </c>
      <c r="F258" s="431"/>
      <c r="G258" s="429">
        <f t="shared" si="23"/>
        <v>296000</v>
      </c>
      <c r="H258" s="429">
        <f t="shared" si="23"/>
        <v>296000</v>
      </c>
      <c r="J258" s="426"/>
      <c r="K258" s="426"/>
    </row>
    <row r="259" spans="1:11" ht="25.5">
      <c r="A259" s="432" t="s">
        <v>469</v>
      </c>
      <c r="B259" s="431"/>
      <c r="C259" s="431" t="s">
        <v>551</v>
      </c>
      <c r="D259" s="431" t="s">
        <v>548</v>
      </c>
      <c r="E259" s="436" t="s">
        <v>835</v>
      </c>
      <c r="F259" s="438" t="s">
        <v>99</v>
      </c>
      <c r="G259" s="429">
        <f>SUM(G260:G261)</f>
        <v>296000</v>
      </c>
      <c r="H259" s="429">
        <f>SUM(H260:H261)</f>
        <v>296000</v>
      </c>
      <c r="J259" s="426"/>
      <c r="K259" s="426"/>
    </row>
    <row r="260" spans="1:11" ht="63.75">
      <c r="A260" s="430" t="s">
        <v>104</v>
      </c>
      <c r="B260" s="431"/>
      <c r="C260" s="431" t="s">
        <v>551</v>
      </c>
      <c r="D260" s="431" t="s">
        <v>548</v>
      </c>
      <c r="E260" s="436" t="s">
        <v>835</v>
      </c>
      <c r="F260" s="431">
        <v>100</v>
      </c>
      <c r="G260" s="433">
        <f>291500+3800</f>
        <v>295300</v>
      </c>
      <c r="H260" s="433">
        <f>291500+3800</f>
        <v>295300</v>
      </c>
      <c r="J260" s="426"/>
      <c r="K260" s="426"/>
    </row>
    <row r="261" spans="1:11" ht="25.5">
      <c r="A261" s="455" t="s">
        <v>482</v>
      </c>
      <c r="B261" s="456"/>
      <c r="C261" s="456" t="s">
        <v>551</v>
      </c>
      <c r="D261" s="456" t="s">
        <v>548</v>
      </c>
      <c r="E261" s="457" t="s">
        <v>835</v>
      </c>
      <c r="F261" s="456">
        <v>200</v>
      </c>
      <c r="G261" s="458">
        <v>700</v>
      </c>
      <c r="H261" s="458">
        <v>700</v>
      </c>
      <c r="J261" s="426"/>
      <c r="K261" s="426"/>
    </row>
    <row r="262" spans="1:11" ht="12.75">
      <c r="A262" s="422" t="s">
        <v>568</v>
      </c>
      <c r="B262" s="423"/>
      <c r="C262" s="423" t="s">
        <v>768</v>
      </c>
      <c r="D262" s="453" t="s">
        <v>912</v>
      </c>
      <c r="E262" s="423" t="s">
        <v>99</v>
      </c>
      <c r="F262" s="423" t="s">
        <v>99</v>
      </c>
      <c r="G262" s="469">
        <f aca="true" t="shared" si="24" ref="G262:H264">G263</f>
        <v>891531</v>
      </c>
      <c r="H262" s="469">
        <f t="shared" si="24"/>
        <v>863777</v>
      </c>
      <c r="J262" s="426"/>
      <c r="K262" s="426"/>
    </row>
    <row r="263" spans="1:11" ht="12.75">
      <c r="A263" s="427" t="s">
        <v>571</v>
      </c>
      <c r="B263" s="428"/>
      <c r="C263" s="428" t="s">
        <v>768</v>
      </c>
      <c r="D263" s="428" t="s">
        <v>220</v>
      </c>
      <c r="E263" s="428" t="s">
        <v>99</v>
      </c>
      <c r="F263" s="428" t="s">
        <v>99</v>
      </c>
      <c r="G263" s="429">
        <f t="shared" si="24"/>
        <v>891531</v>
      </c>
      <c r="H263" s="429">
        <f t="shared" si="24"/>
        <v>863777</v>
      </c>
      <c r="J263" s="426"/>
      <c r="K263" s="426"/>
    </row>
    <row r="264" spans="1:11" ht="38.25">
      <c r="A264" s="432" t="s">
        <v>394</v>
      </c>
      <c r="B264" s="431"/>
      <c r="C264" s="431" t="s">
        <v>768</v>
      </c>
      <c r="D264" s="431" t="s">
        <v>220</v>
      </c>
      <c r="E264" s="436" t="s">
        <v>398</v>
      </c>
      <c r="F264" s="431"/>
      <c r="G264" s="429">
        <f t="shared" si="24"/>
        <v>891531</v>
      </c>
      <c r="H264" s="429">
        <f t="shared" si="24"/>
        <v>863777</v>
      </c>
      <c r="J264" s="426"/>
      <c r="K264" s="426"/>
    </row>
    <row r="265" spans="1:11" ht="25.5">
      <c r="A265" s="432" t="s">
        <v>514</v>
      </c>
      <c r="B265" s="431"/>
      <c r="C265" s="431" t="s">
        <v>768</v>
      </c>
      <c r="D265" s="431" t="s">
        <v>220</v>
      </c>
      <c r="E265" s="436" t="s">
        <v>399</v>
      </c>
      <c r="F265" s="431"/>
      <c r="G265" s="429">
        <f>SUM(G266:G268)</f>
        <v>891531</v>
      </c>
      <c r="H265" s="429">
        <f>SUM(H266:H268)</f>
        <v>863777</v>
      </c>
      <c r="J265" s="426"/>
      <c r="K265" s="426"/>
    </row>
    <row r="266" spans="1:11" ht="63.75">
      <c r="A266" s="430" t="s">
        <v>104</v>
      </c>
      <c r="B266" s="431"/>
      <c r="C266" s="431" t="s">
        <v>768</v>
      </c>
      <c r="D266" s="431" t="s">
        <v>220</v>
      </c>
      <c r="E266" s="436" t="s">
        <v>399</v>
      </c>
      <c r="F266" s="431" t="s">
        <v>27</v>
      </c>
      <c r="G266" s="433">
        <v>847887</v>
      </c>
      <c r="H266" s="433">
        <f>650508+169625</f>
        <v>820133</v>
      </c>
      <c r="J266" s="426"/>
      <c r="K266" s="426"/>
    </row>
    <row r="267" spans="1:11" ht="25.5">
      <c r="A267" s="430" t="s">
        <v>482</v>
      </c>
      <c r="B267" s="431"/>
      <c r="C267" s="431" t="s">
        <v>768</v>
      </c>
      <c r="D267" s="431" t="s">
        <v>220</v>
      </c>
      <c r="E267" s="436" t="s">
        <v>399</v>
      </c>
      <c r="F267" s="431" t="s">
        <v>600</v>
      </c>
      <c r="G267" s="433">
        <v>42144</v>
      </c>
      <c r="H267" s="433">
        <v>42144</v>
      </c>
      <c r="J267" s="426"/>
      <c r="K267" s="426"/>
    </row>
    <row r="268" spans="1:11" ht="12.75">
      <c r="A268" s="455" t="s">
        <v>89</v>
      </c>
      <c r="B268" s="456"/>
      <c r="C268" s="456" t="s">
        <v>768</v>
      </c>
      <c r="D268" s="456" t="s">
        <v>220</v>
      </c>
      <c r="E268" s="457" t="s">
        <v>399</v>
      </c>
      <c r="F268" s="456">
        <v>800</v>
      </c>
      <c r="G268" s="458">
        <v>1500</v>
      </c>
      <c r="H268" s="458">
        <v>1500</v>
      </c>
      <c r="J268" s="426"/>
      <c r="K268" s="426"/>
    </row>
    <row r="269" spans="1:11" ht="12.75">
      <c r="A269" s="422" t="s">
        <v>573</v>
      </c>
      <c r="B269" s="423"/>
      <c r="C269" s="423" t="s">
        <v>561</v>
      </c>
      <c r="D269" s="453" t="s">
        <v>912</v>
      </c>
      <c r="E269" s="423" t="s">
        <v>99</v>
      </c>
      <c r="F269" s="423" t="s">
        <v>99</v>
      </c>
      <c r="G269" s="469">
        <f>G270+G288+G297</f>
        <v>16071908</v>
      </c>
      <c r="H269" s="469">
        <f>H270+H288+H297</f>
        <v>16071908</v>
      </c>
      <c r="J269" s="426"/>
      <c r="K269" s="426"/>
    </row>
    <row r="270" spans="1:11" ht="12.75">
      <c r="A270" s="427" t="s">
        <v>574</v>
      </c>
      <c r="B270" s="428"/>
      <c r="C270" s="428" t="s">
        <v>561</v>
      </c>
      <c r="D270" s="428" t="s">
        <v>219</v>
      </c>
      <c r="E270" s="428" t="s">
        <v>99</v>
      </c>
      <c r="F270" s="428" t="s">
        <v>99</v>
      </c>
      <c r="G270" s="429">
        <f>G271</f>
        <v>8528104</v>
      </c>
      <c r="H270" s="429">
        <f>H271</f>
        <v>8528104</v>
      </c>
      <c r="J270" s="426"/>
      <c r="K270" s="426"/>
    </row>
    <row r="271" spans="1:11" ht="25.5">
      <c r="A271" s="434" t="s">
        <v>185</v>
      </c>
      <c r="B271" s="431"/>
      <c r="C271" s="431" t="s">
        <v>561</v>
      </c>
      <c r="D271" s="431" t="s">
        <v>219</v>
      </c>
      <c r="E271" s="436" t="s">
        <v>808</v>
      </c>
      <c r="F271" s="431" t="s">
        <v>99</v>
      </c>
      <c r="G271" s="429">
        <f>G272</f>
        <v>8528104</v>
      </c>
      <c r="H271" s="429">
        <f>H272</f>
        <v>8528104</v>
      </c>
      <c r="J271" s="426"/>
      <c r="K271" s="426"/>
    </row>
    <row r="272" spans="1:11" ht="51">
      <c r="A272" s="435" t="s">
        <v>186</v>
      </c>
      <c r="B272" s="431"/>
      <c r="C272" s="431" t="s">
        <v>561</v>
      </c>
      <c r="D272" s="431" t="s">
        <v>219</v>
      </c>
      <c r="E272" s="437" t="s">
        <v>668</v>
      </c>
      <c r="F272" s="432" t="s">
        <v>99</v>
      </c>
      <c r="G272" s="429">
        <f>G273+G280+G284</f>
        <v>8528104</v>
      </c>
      <c r="H272" s="429">
        <f>H273+H280+H284</f>
        <v>8528104</v>
      </c>
      <c r="J272" s="426"/>
      <c r="K272" s="426"/>
    </row>
    <row r="273" spans="1:11" ht="25.5">
      <c r="A273" s="23" t="s">
        <v>401</v>
      </c>
      <c r="B273" s="431"/>
      <c r="C273" s="431" t="s">
        <v>561</v>
      </c>
      <c r="D273" s="431" t="s">
        <v>219</v>
      </c>
      <c r="E273" s="460" t="s">
        <v>136</v>
      </c>
      <c r="F273" s="431"/>
      <c r="G273" s="429">
        <f>G274+G277</f>
        <v>7938092</v>
      </c>
      <c r="H273" s="429">
        <f>H274+H277</f>
        <v>7938092</v>
      </c>
      <c r="J273" s="426"/>
      <c r="K273" s="426"/>
    </row>
    <row r="274" spans="1:11" ht="25.5">
      <c r="A274" s="432" t="s">
        <v>24</v>
      </c>
      <c r="B274" s="431"/>
      <c r="C274" s="431" t="s">
        <v>561</v>
      </c>
      <c r="D274" s="431" t="s">
        <v>219</v>
      </c>
      <c r="E274" s="436" t="s">
        <v>402</v>
      </c>
      <c r="F274" s="431" t="s">
        <v>99</v>
      </c>
      <c r="G274" s="429">
        <f>SUM(G275:G276)</f>
        <v>6840092</v>
      </c>
      <c r="H274" s="429">
        <f>SUM(H275:H276)</f>
        <v>6840092</v>
      </c>
      <c r="J274" s="426"/>
      <c r="K274" s="426"/>
    </row>
    <row r="275" spans="1:11" ht="25.5">
      <c r="A275" s="430" t="s">
        <v>482</v>
      </c>
      <c r="B275" s="431"/>
      <c r="C275" s="431" t="s">
        <v>561</v>
      </c>
      <c r="D275" s="431" t="s">
        <v>219</v>
      </c>
      <c r="E275" s="436" t="s">
        <v>402</v>
      </c>
      <c r="F275" s="431">
        <v>200</v>
      </c>
      <c r="G275" s="433">
        <v>110000</v>
      </c>
      <c r="H275" s="433">
        <v>110000</v>
      </c>
      <c r="J275" s="426"/>
      <c r="K275" s="426"/>
    </row>
    <row r="276" spans="1:11" ht="25.5">
      <c r="A276" s="430" t="s">
        <v>93</v>
      </c>
      <c r="B276" s="431"/>
      <c r="C276" s="431" t="s">
        <v>561</v>
      </c>
      <c r="D276" s="431" t="s">
        <v>219</v>
      </c>
      <c r="E276" s="436" t="s">
        <v>402</v>
      </c>
      <c r="F276" s="431">
        <v>300</v>
      </c>
      <c r="G276" s="433">
        <v>6730092</v>
      </c>
      <c r="H276" s="433">
        <v>6730092</v>
      </c>
      <c r="J276" s="426"/>
      <c r="K276" s="426"/>
    </row>
    <row r="277" spans="1:11" ht="25.5">
      <c r="A277" s="432" t="s">
        <v>25</v>
      </c>
      <c r="B277" s="431"/>
      <c r="C277" s="431" t="s">
        <v>561</v>
      </c>
      <c r="D277" s="431" t="s">
        <v>219</v>
      </c>
      <c r="E277" s="436" t="s">
        <v>403</v>
      </c>
      <c r="F277" s="431" t="s">
        <v>99</v>
      </c>
      <c r="G277" s="429">
        <f>SUM(G278:G279)</f>
        <v>1098000</v>
      </c>
      <c r="H277" s="429">
        <f>SUM(H278:H279)</f>
        <v>1098000</v>
      </c>
      <c r="J277" s="426"/>
      <c r="K277" s="426"/>
    </row>
    <row r="278" spans="1:11" ht="25.5">
      <c r="A278" s="430" t="s">
        <v>482</v>
      </c>
      <c r="B278" s="431"/>
      <c r="C278" s="431" t="s">
        <v>561</v>
      </c>
      <c r="D278" s="431" t="s">
        <v>219</v>
      </c>
      <c r="E278" s="436" t="s">
        <v>403</v>
      </c>
      <c r="F278" s="431">
        <v>200</v>
      </c>
      <c r="G278" s="433">
        <v>25000</v>
      </c>
      <c r="H278" s="433">
        <v>25000</v>
      </c>
      <c r="J278" s="426"/>
      <c r="K278" s="426"/>
    </row>
    <row r="279" spans="1:11" ht="25.5">
      <c r="A279" s="430" t="s">
        <v>93</v>
      </c>
      <c r="B279" s="431"/>
      <c r="C279" s="431" t="s">
        <v>561</v>
      </c>
      <c r="D279" s="431" t="s">
        <v>219</v>
      </c>
      <c r="E279" s="436" t="s">
        <v>403</v>
      </c>
      <c r="F279" s="431" t="s">
        <v>92</v>
      </c>
      <c r="G279" s="433">
        <v>1073000</v>
      </c>
      <c r="H279" s="433">
        <v>1073000</v>
      </c>
      <c r="J279" s="426"/>
      <c r="K279" s="426"/>
    </row>
    <row r="280" spans="1:11" ht="25.5">
      <c r="A280" s="22" t="s">
        <v>133</v>
      </c>
      <c r="B280" s="428"/>
      <c r="C280" s="428" t="s">
        <v>561</v>
      </c>
      <c r="D280" s="428" t="s">
        <v>219</v>
      </c>
      <c r="E280" s="460" t="s">
        <v>137</v>
      </c>
      <c r="F280" s="428"/>
      <c r="G280" s="429">
        <f>G281</f>
        <v>136797</v>
      </c>
      <c r="H280" s="429">
        <f>H281</f>
        <v>136797</v>
      </c>
      <c r="J280" s="426"/>
      <c r="K280" s="426"/>
    </row>
    <row r="281" spans="1:11" ht="38.25">
      <c r="A281" s="432" t="s">
        <v>518</v>
      </c>
      <c r="B281" s="431"/>
      <c r="C281" s="431" t="s">
        <v>561</v>
      </c>
      <c r="D281" s="431" t="s">
        <v>219</v>
      </c>
      <c r="E281" s="436" t="s">
        <v>138</v>
      </c>
      <c r="F281" s="431" t="s">
        <v>99</v>
      </c>
      <c r="G281" s="429">
        <f>SUM(G282:G283)</f>
        <v>136797</v>
      </c>
      <c r="H281" s="429">
        <f>SUM(H282:H283)</f>
        <v>136797</v>
      </c>
      <c r="J281" s="426"/>
      <c r="K281" s="426"/>
    </row>
    <row r="282" spans="1:11" ht="25.5">
      <c r="A282" s="430" t="s">
        <v>482</v>
      </c>
      <c r="B282" s="431"/>
      <c r="C282" s="431" t="s">
        <v>561</v>
      </c>
      <c r="D282" s="431" t="s">
        <v>219</v>
      </c>
      <c r="E282" s="436" t="s">
        <v>138</v>
      </c>
      <c r="F282" s="431">
        <v>200</v>
      </c>
      <c r="G282" s="429">
        <v>2797</v>
      </c>
      <c r="H282" s="429">
        <v>2797</v>
      </c>
      <c r="J282" s="426"/>
      <c r="K282" s="426"/>
    </row>
    <row r="283" spans="1:11" ht="25.5">
      <c r="A283" s="430" t="s">
        <v>93</v>
      </c>
      <c r="B283" s="431"/>
      <c r="C283" s="431" t="s">
        <v>561</v>
      </c>
      <c r="D283" s="431" t="s">
        <v>219</v>
      </c>
      <c r="E283" s="436" t="s">
        <v>138</v>
      </c>
      <c r="F283" s="431" t="s">
        <v>92</v>
      </c>
      <c r="G283" s="433">
        <v>134000</v>
      </c>
      <c r="H283" s="433">
        <v>134000</v>
      </c>
      <c r="J283" s="426"/>
      <c r="K283" s="426"/>
    </row>
    <row r="284" spans="1:11" ht="38.25">
      <c r="A284" s="27" t="s">
        <v>404</v>
      </c>
      <c r="B284" s="428"/>
      <c r="C284" s="428" t="s">
        <v>561</v>
      </c>
      <c r="D284" s="428" t="s">
        <v>219</v>
      </c>
      <c r="E284" s="437" t="s">
        <v>139</v>
      </c>
      <c r="F284" s="428"/>
      <c r="G284" s="429">
        <f>G285</f>
        <v>453215</v>
      </c>
      <c r="H284" s="429">
        <f>H285</f>
        <v>453215</v>
      </c>
      <c r="J284" s="426"/>
      <c r="K284" s="426"/>
    </row>
    <row r="285" spans="1:11" ht="38.25">
      <c r="A285" s="432" t="s">
        <v>124</v>
      </c>
      <c r="B285" s="431"/>
      <c r="C285" s="431" t="s">
        <v>561</v>
      </c>
      <c r="D285" s="431" t="s">
        <v>219</v>
      </c>
      <c r="E285" s="436" t="s">
        <v>140</v>
      </c>
      <c r="F285" s="431" t="s">
        <v>99</v>
      </c>
      <c r="G285" s="429">
        <f>SUM(G286:G287)</f>
        <v>453215</v>
      </c>
      <c r="H285" s="429">
        <f>SUM(H286:H287)</f>
        <v>453215</v>
      </c>
      <c r="J285" s="426"/>
      <c r="K285" s="426"/>
    </row>
    <row r="286" spans="1:11" ht="25.5">
      <c r="A286" s="430" t="s">
        <v>482</v>
      </c>
      <c r="B286" s="431"/>
      <c r="C286" s="431" t="s">
        <v>561</v>
      </c>
      <c r="D286" s="431" t="s">
        <v>219</v>
      </c>
      <c r="E286" s="436" t="s">
        <v>140</v>
      </c>
      <c r="F286" s="431">
        <v>200</v>
      </c>
      <c r="G286" s="433">
        <v>2500</v>
      </c>
      <c r="H286" s="433">
        <v>2500</v>
      </c>
      <c r="J286" s="426"/>
      <c r="K286" s="426"/>
    </row>
    <row r="287" spans="1:11" ht="25.5">
      <c r="A287" s="430" t="s">
        <v>93</v>
      </c>
      <c r="B287" s="431"/>
      <c r="C287" s="431" t="s">
        <v>561</v>
      </c>
      <c r="D287" s="431" t="s">
        <v>219</v>
      </c>
      <c r="E287" s="436" t="s">
        <v>140</v>
      </c>
      <c r="F287" s="431">
        <v>300</v>
      </c>
      <c r="G287" s="433">
        <v>450715</v>
      </c>
      <c r="H287" s="433">
        <v>450715</v>
      </c>
      <c r="J287" s="426"/>
      <c r="K287" s="426"/>
    </row>
    <row r="288" spans="1:11" ht="12.75">
      <c r="A288" s="427" t="s">
        <v>575</v>
      </c>
      <c r="B288" s="428"/>
      <c r="C288" s="428" t="s">
        <v>561</v>
      </c>
      <c r="D288" s="428" t="s">
        <v>551</v>
      </c>
      <c r="E288" s="428" t="s">
        <v>99</v>
      </c>
      <c r="F288" s="428" t="s">
        <v>99</v>
      </c>
      <c r="G288" s="429">
        <f>G289</f>
        <v>5471804</v>
      </c>
      <c r="H288" s="429">
        <f>H289</f>
        <v>5471804</v>
      </c>
      <c r="J288" s="426"/>
      <c r="K288" s="426"/>
    </row>
    <row r="289" spans="1:11" ht="25.5">
      <c r="A289" s="434" t="s">
        <v>185</v>
      </c>
      <c r="B289" s="431"/>
      <c r="C289" s="431" t="s">
        <v>561</v>
      </c>
      <c r="D289" s="431" t="s">
        <v>551</v>
      </c>
      <c r="E289" s="436" t="s">
        <v>808</v>
      </c>
      <c r="F289" s="431"/>
      <c r="G289" s="429">
        <f>G290</f>
        <v>5471804</v>
      </c>
      <c r="H289" s="429">
        <f>H290</f>
        <v>5471804</v>
      </c>
      <c r="J289" s="426"/>
      <c r="K289" s="426"/>
    </row>
    <row r="290" spans="1:11" ht="63.75">
      <c r="A290" s="435" t="s">
        <v>871</v>
      </c>
      <c r="B290" s="431"/>
      <c r="C290" s="431" t="s">
        <v>561</v>
      </c>
      <c r="D290" s="431" t="s">
        <v>551</v>
      </c>
      <c r="E290" s="437" t="s">
        <v>813</v>
      </c>
      <c r="F290" s="432" t="s">
        <v>99</v>
      </c>
      <c r="G290" s="429">
        <f>G291+G294</f>
        <v>5471804</v>
      </c>
      <c r="H290" s="429">
        <f>H291+H294</f>
        <v>5471804</v>
      </c>
      <c r="J290" s="426"/>
      <c r="K290" s="426"/>
    </row>
    <row r="291" spans="1:11" ht="38.25">
      <c r="A291" s="23" t="s">
        <v>77</v>
      </c>
      <c r="B291" s="431"/>
      <c r="C291" s="431" t="s">
        <v>561</v>
      </c>
      <c r="D291" s="431" t="s">
        <v>551</v>
      </c>
      <c r="E291" s="431" t="s">
        <v>134</v>
      </c>
      <c r="F291" s="431"/>
      <c r="G291" s="429">
        <f>G292</f>
        <v>1432488</v>
      </c>
      <c r="H291" s="429">
        <f>H292</f>
        <v>1432488</v>
      </c>
      <c r="J291" s="426"/>
      <c r="K291" s="426"/>
    </row>
    <row r="292" spans="1:11" ht="12.75">
      <c r="A292" s="22" t="s">
        <v>562</v>
      </c>
      <c r="B292" s="431"/>
      <c r="C292" s="431" t="s">
        <v>561</v>
      </c>
      <c r="D292" s="431" t="s">
        <v>551</v>
      </c>
      <c r="E292" s="436" t="s">
        <v>78</v>
      </c>
      <c r="F292" s="431"/>
      <c r="G292" s="429">
        <f>G293</f>
        <v>1432488</v>
      </c>
      <c r="H292" s="429">
        <f>H293</f>
        <v>1432488</v>
      </c>
      <c r="J292" s="426"/>
      <c r="K292" s="426"/>
    </row>
    <row r="293" spans="1:11" ht="25.5">
      <c r="A293" s="430" t="s">
        <v>93</v>
      </c>
      <c r="B293" s="431"/>
      <c r="C293" s="431" t="s">
        <v>561</v>
      </c>
      <c r="D293" s="431" t="s">
        <v>551</v>
      </c>
      <c r="E293" s="436" t="s">
        <v>78</v>
      </c>
      <c r="F293" s="431">
        <v>300</v>
      </c>
      <c r="G293" s="433">
        <v>1432488</v>
      </c>
      <c r="H293" s="433">
        <v>1432488</v>
      </c>
      <c r="J293" s="426"/>
      <c r="K293" s="426"/>
    </row>
    <row r="294" spans="1:11" ht="51">
      <c r="A294" s="23" t="s">
        <v>135</v>
      </c>
      <c r="B294" s="431"/>
      <c r="C294" s="431" t="s">
        <v>561</v>
      </c>
      <c r="D294" s="431" t="s">
        <v>551</v>
      </c>
      <c r="E294" s="437" t="s">
        <v>79</v>
      </c>
      <c r="F294" s="432"/>
      <c r="G294" s="429">
        <f>G295</f>
        <v>4039316</v>
      </c>
      <c r="H294" s="429">
        <f>H295</f>
        <v>4039316</v>
      </c>
      <c r="J294" s="426"/>
      <c r="K294" s="426"/>
    </row>
    <row r="295" spans="1:11" ht="38.25">
      <c r="A295" s="432" t="s">
        <v>26</v>
      </c>
      <c r="B295" s="431"/>
      <c r="C295" s="431" t="s">
        <v>561</v>
      </c>
      <c r="D295" s="431" t="s">
        <v>551</v>
      </c>
      <c r="E295" s="436" t="s">
        <v>80</v>
      </c>
      <c r="F295" s="431" t="s">
        <v>99</v>
      </c>
      <c r="G295" s="429">
        <f>SUM(G296:G296)</f>
        <v>4039316</v>
      </c>
      <c r="H295" s="429">
        <f>SUM(H296:H296)</f>
        <v>4039316</v>
      </c>
      <c r="J295" s="426"/>
      <c r="K295" s="426"/>
    </row>
    <row r="296" spans="1:11" ht="25.5">
      <c r="A296" s="430" t="s">
        <v>93</v>
      </c>
      <c r="B296" s="431"/>
      <c r="C296" s="431" t="s">
        <v>561</v>
      </c>
      <c r="D296" s="431" t="s">
        <v>551</v>
      </c>
      <c r="E296" s="436" t="s">
        <v>80</v>
      </c>
      <c r="F296" s="431">
        <v>300</v>
      </c>
      <c r="G296" s="433">
        <v>4039316</v>
      </c>
      <c r="H296" s="433">
        <v>4039316</v>
      </c>
      <c r="J296" s="426"/>
      <c r="K296" s="426"/>
    </row>
    <row r="297" spans="1:11" ht="12.75">
      <c r="A297" s="427" t="s">
        <v>741</v>
      </c>
      <c r="B297" s="428"/>
      <c r="C297" s="428" t="s">
        <v>561</v>
      </c>
      <c r="D297" s="428" t="s">
        <v>552</v>
      </c>
      <c r="E297" s="428" t="s">
        <v>99</v>
      </c>
      <c r="F297" s="428" t="s">
        <v>99</v>
      </c>
      <c r="G297" s="429">
        <f aca="true" t="shared" si="25" ref="G297:H300">G298</f>
        <v>2072000</v>
      </c>
      <c r="H297" s="429">
        <f t="shared" si="25"/>
        <v>2072000</v>
      </c>
      <c r="J297" s="426"/>
      <c r="K297" s="426"/>
    </row>
    <row r="298" spans="1:11" ht="25.5">
      <c r="A298" s="434" t="s">
        <v>185</v>
      </c>
      <c r="B298" s="431"/>
      <c r="C298" s="431" t="s">
        <v>561</v>
      </c>
      <c r="D298" s="431" t="s">
        <v>552</v>
      </c>
      <c r="E298" s="436" t="s">
        <v>808</v>
      </c>
      <c r="F298" s="431" t="s">
        <v>99</v>
      </c>
      <c r="G298" s="429">
        <f t="shared" si="25"/>
        <v>2072000</v>
      </c>
      <c r="H298" s="429">
        <f t="shared" si="25"/>
        <v>2072000</v>
      </c>
      <c r="J298" s="426"/>
      <c r="K298" s="426"/>
    </row>
    <row r="299" spans="1:11" ht="51">
      <c r="A299" s="435" t="s">
        <v>261</v>
      </c>
      <c r="B299" s="431"/>
      <c r="C299" s="431" t="s">
        <v>561</v>
      </c>
      <c r="D299" s="431" t="s">
        <v>552</v>
      </c>
      <c r="E299" s="437" t="s">
        <v>812</v>
      </c>
      <c r="F299" s="432" t="s">
        <v>99</v>
      </c>
      <c r="G299" s="429">
        <f t="shared" si="25"/>
        <v>2072000</v>
      </c>
      <c r="H299" s="429">
        <f t="shared" si="25"/>
        <v>2072000</v>
      </c>
      <c r="J299" s="426"/>
      <c r="K299" s="426"/>
    </row>
    <row r="300" spans="1:11" ht="51">
      <c r="A300" s="24" t="s">
        <v>81</v>
      </c>
      <c r="B300" s="431"/>
      <c r="C300" s="431" t="s">
        <v>561</v>
      </c>
      <c r="D300" s="431" t="s">
        <v>552</v>
      </c>
      <c r="E300" s="437" t="s">
        <v>82</v>
      </c>
      <c r="F300" s="432"/>
      <c r="G300" s="429">
        <f t="shared" si="25"/>
        <v>2072000</v>
      </c>
      <c r="H300" s="429">
        <f t="shared" si="25"/>
        <v>2072000</v>
      </c>
      <c r="J300" s="426"/>
      <c r="K300" s="426"/>
    </row>
    <row r="301" spans="1:11" ht="38.25">
      <c r="A301" s="432" t="s">
        <v>271</v>
      </c>
      <c r="B301" s="431"/>
      <c r="C301" s="431" t="s">
        <v>561</v>
      </c>
      <c r="D301" s="431" t="s">
        <v>552</v>
      </c>
      <c r="E301" s="437" t="s">
        <v>83</v>
      </c>
      <c r="F301" s="431" t="s">
        <v>99</v>
      </c>
      <c r="G301" s="429">
        <f>SUM(G302:G304)</f>
        <v>2072000</v>
      </c>
      <c r="H301" s="429">
        <f>SUM(H302:H304)</f>
        <v>2072000</v>
      </c>
      <c r="J301" s="426"/>
      <c r="K301" s="426"/>
    </row>
    <row r="302" spans="1:11" ht="63.75">
      <c r="A302" s="430" t="s">
        <v>104</v>
      </c>
      <c r="B302" s="431"/>
      <c r="C302" s="431" t="s">
        <v>561</v>
      </c>
      <c r="D302" s="431" t="s">
        <v>552</v>
      </c>
      <c r="E302" s="437" t="s">
        <v>83</v>
      </c>
      <c r="F302" s="431">
        <v>100</v>
      </c>
      <c r="G302" s="433">
        <f>1905000+21000</f>
        <v>1926000</v>
      </c>
      <c r="H302" s="433">
        <f>1905000+21000</f>
        <v>1926000</v>
      </c>
      <c r="J302" s="426"/>
      <c r="K302" s="426"/>
    </row>
    <row r="303" spans="1:11" ht="25.5">
      <c r="A303" s="430" t="s">
        <v>482</v>
      </c>
      <c r="B303" s="431"/>
      <c r="C303" s="431" t="s">
        <v>561</v>
      </c>
      <c r="D303" s="431" t="s">
        <v>552</v>
      </c>
      <c r="E303" s="437" t="s">
        <v>83</v>
      </c>
      <c r="F303" s="432">
        <v>200</v>
      </c>
      <c r="G303" s="433">
        <f>139900+5600</f>
        <v>145500</v>
      </c>
      <c r="H303" s="433">
        <f>139900+5600</f>
        <v>145500</v>
      </c>
      <c r="J303" s="426"/>
      <c r="K303" s="426"/>
    </row>
    <row r="304" spans="1:11" ht="12.75">
      <c r="A304" s="455" t="s">
        <v>89</v>
      </c>
      <c r="B304" s="456"/>
      <c r="C304" s="456" t="s">
        <v>561</v>
      </c>
      <c r="D304" s="456" t="s">
        <v>552</v>
      </c>
      <c r="E304" s="484" t="s">
        <v>83</v>
      </c>
      <c r="F304" s="476">
        <v>800</v>
      </c>
      <c r="G304" s="458">
        <v>500</v>
      </c>
      <c r="H304" s="458">
        <v>500</v>
      </c>
      <c r="J304" s="426"/>
      <c r="K304" s="426"/>
    </row>
    <row r="305" spans="1:11" ht="25.5">
      <c r="A305" s="422" t="s">
        <v>601</v>
      </c>
      <c r="B305" s="423"/>
      <c r="C305" s="423" t="s">
        <v>218</v>
      </c>
      <c r="D305" s="453" t="s">
        <v>912</v>
      </c>
      <c r="E305" s="423" t="s">
        <v>99</v>
      </c>
      <c r="F305" s="423" t="s">
        <v>99</v>
      </c>
      <c r="G305" s="469">
        <f aca="true" t="shared" si="26" ref="G305:H310">G306</f>
        <v>69812</v>
      </c>
      <c r="H305" s="469">
        <f t="shared" si="26"/>
        <v>69812</v>
      </c>
      <c r="J305" s="426"/>
      <c r="K305" s="426"/>
    </row>
    <row r="306" spans="1:11" ht="25.5">
      <c r="A306" s="427" t="s">
        <v>602</v>
      </c>
      <c r="B306" s="428"/>
      <c r="C306" s="428" t="s">
        <v>218</v>
      </c>
      <c r="D306" s="428" t="s">
        <v>548</v>
      </c>
      <c r="E306" s="454" t="s">
        <v>99</v>
      </c>
      <c r="F306" s="454" t="s">
        <v>99</v>
      </c>
      <c r="G306" s="429">
        <f t="shared" si="26"/>
        <v>69812</v>
      </c>
      <c r="H306" s="429">
        <f t="shared" si="26"/>
        <v>69812</v>
      </c>
      <c r="J306" s="426"/>
      <c r="K306" s="426"/>
    </row>
    <row r="307" spans="1:11" ht="25.5">
      <c r="A307" s="434" t="s">
        <v>711</v>
      </c>
      <c r="B307" s="431"/>
      <c r="C307" s="431" t="s">
        <v>218</v>
      </c>
      <c r="D307" s="431" t="s">
        <v>548</v>
      </c>
      <c r="E307" s="436" t="s">
        <v>440</v>
      </c>
      <c r="F307" s="438" t="s">
        <v>99</v>
      </c>
      <c r="G307" s="429">
        <f t="shared" si="26"/>
        <v>69812</v>
      </c>
      <c r="H307" s="429">
        <f t="shared" si="26"/>
        <v>69812</v>
      </c>
      <c r="J307" s="426"/>
      <c r="K307" s="426"/>
    </row>
    <row r="308" spans="1:11" ht="51">
      <c r="A308" s="435" t="s">
        <v>217</v>
      </c>
      <c r="B308" s="431"/>
      <c r="C308" s="431" t="s">
        <v>218</v>
      </c>
      <c r="D308" s="431" t="s">
        <v>548</v>
      </c>
      <c r="E308" s="436" t="s">
        <v>670</v>
      </c>
      <c r="F308" s="447" t="s">
        <v>99</v>
      </c>
      <c r="G308" s="429">
        <f t="shared" si="26"/>
        <v>69812</v>
      </c>
      <c r="H308" s="429">
        <f t="shared" si="26"/>
        <v>69812</v>
      </c>
      <c r="J308" s="426"/>
      <c r="K308" s="426"/>
    </row>
    <row r="309" spans="1:11" ht="51">
      <c r="A309" s="22" t="s">
        <v>669</v>
      </c>
      <c r="B309" s="431"/>
      <c r="C309" s="431" t="s">
        <v>218</v>
      </c>
      <c r="D309" s="431" t="s">
        <v>548</v>
      </c>
      <c r="E309" s="436" t="s">
        <v>671</v>
      </c>
      <c r="F309" s="447"/>
      <c r="G309" s="429">
        <f t="shared" si="26"/>
        <v>69812</v>
      </c>
      <c r="H309" s="429">
        <f t="shared" si="26"/>
        <v>69812</v>
      </c>
      <c r="J309" s="426"/>
      <c r="K309" s="426"/>
    </row>
    <row r="310" spans="1:11" ht="12.75">
      <c r="A310" s="25" t="s">
        <v>672</v>
      </c>
      <c r="B310" s="431"/>
      <c r="C310" s="431" t="s">
        <v>218</v>
      </c>
      <c r="D310" s="431" t="s">
        <v>548</v>
      </c>
      <c r="E310" s="436" t="s">
        <v>673</v>
      </c>
      <c r="F310" s="438" t="s">
        <v>99</v>
      </c>
      <c r="G310" s="429">
        <f t="shared" si="26"/>
        <v>69812</v>
      </c>
      <c r="H310" s="429">
        <f t="shared" si="26"/>
        <v>69812</v>
      </c>
      <c r="J310" s="426"/>
      <c r="K310" s="426"/>
    </row>
    <row r="311" spans="1:11" ht="25.5">
      <c r="A311" s="487" t="s">
        <v>125</v>
      </c>
      <c r="B311" s="488"/>
      <c r="C311" s="488" t="s">
        <v>218</v>
      </c>
      <c r="D311" s="488" t="s">
        <v>548</v>
      </c>
      <c r="E311" s="489" t="s">
        <v>673</v>
      </c>
      <c r="F311" s="488" t="s">
        <v>94</v>
      </c>
      <c r="G311" s="490">
        <v>69812</v>
      </c>
      <c r="H311" s="490">
        <v>69812</v>
      </c>
      <c r="J311" s="426"/>
      <c r="K311" s="426"/>
    </row>
    <row r="312" spans="1:11" ht="12.75">
      <c r="A312" s="516" t="s">
        <v>158</v>
      </c>
      <c r="B312" s="493" t="s">
        <v>157</v>
      </c>
      <c r="C312" s="517"/>
      <c r="D312" s="517"/>
      <c r="E312" s="518"/>
      <c r="F312" s="519"/>
      <c r="G312" s="520">
        <f>G313</f>
        <v>656244</v>
      </c>
      <c r="H312" s="520">
        <f>H313</f>
        <v>635336</v>
      </c>
      <c r="J312" s="426"/>
      <c r="K312" s="426"/>
    </row>
    <row r="313" spans="1:11" ht="25.5" customHeight="1">
      <c r="A313" s="521" t="s">
        <v>192</v>
      </c>
      <c r="B313" s="522"/>
      <c r="C313" s="522" t="s">
        <v>548</v>
      </c>
      <c r="D313" s="522" t="s">
        <v>552</v>
      </c>
      <c r="E313" s="523" t="s">
        <v>443</v>
      </c>
      <c r="F313" s="524" t="s">
        <v>99</v>
      </c>
      <c r="G313" s="525">
        <f>G314+G317</f>
        <v>656244</v>
      </c>
      <c r="H313" s="525">
        <f>H314+H317</f>
        <v>635336</v>
      </c>
      <c r="J313" s="426"/>
      <c r="K313" s="426"/>
    </row>
    <row r="314" spans="1:11" ht="25.5">
      <c r="A314" s="435" t="s">
        <v>193</v>
      </c>
      <c r="B314" s="431"/>
      <c r="C314" s="431" t="s">
        <v>548</v>
      </c>
      <c r="D314" s="431" t="s">
        <v>552</v>
      </c>
      <c r="E314" s="437" t="s">
        <v>444</v>
      </c>
      <c r="F314" s="431" t="s">
        <v>99</v>
      </c>
      <c r="G314" s="429">
        <f>G315</f>
        <v>410439</v>
      </c>
      <c r="H314" s="429">
        <f>H315</f>
        <v>397004</v>
      </c>
      <c r="J314" s="426"/>
      <c r="K314" s="426"/>
    </row>
    <row r="315" spans="1:11" ht="25.5">
      <c r="A315" s="432" t="s">
        <v>514</v>
      </c>
      <c r="B315" s="431"/>
      <c r="C315" s="431" t="s">
        <v>548</v>
      </c>
      <c r="D315" s="431" t="s">
        <v>552</v>
      </c>
      <c r="E315" s="436" t="s">
        <v>445</v>
      </c>
      <c r="F315" s="431"/>
      <c r="G315" s="429">
        <f>SUM(G316:G316)</f>
        <v>410439</v>
      </c>
      <c r="H315" s="429">
        <f>SUM(H316:H316)</f>
        <v>397004</v>
      </c>
      <c r="J315" s="426"/>
      <c r="K315" s="426"/>
    </row>
    <row r="316" spans="1:11" ht="63.75">
      <c r="A316" s="430" t="s">
        <v>104</v>
      </c>
      <c r="B316" s="431"/>
      <c r="C316" s="431" t="s">
        <v>548</v>
      </c>
      <c r="D316" s="431" t="s">
        <v>552</v>
      </c>
      <c r="E316" s="436" t="s">
        <v>445</v>
      </c>
      <c r="F316" s="431">
        <v>100</v>
      </c>
      <c r="G316" s="429">
        <v>410439</v>
      </c>
      <c r="H316" s="429">
        <v>397004</v>
      </c>
      <c r="J316" s="426"/>
      <c r="K316" s="426"/>
    </row>
    <row r="317" spans="1:11" ht="25.5">
      <c r="A317" s="430" t="s">
        <v>847</v>
      </c>
      <c r="B317" s="431"/>
      <c r="C317" s="431" t="s">
        <v>548</v>
      </c>
      <c r="D317" s="431" t="s">
        <v>552</v>
      </c>
      <c r="E317" s="437" t="s">
        <v>846</v>
      </c>
      <c r="F317" s="431"/>
      <c r="G317" s="429">
        <f>G318</f>
        <v>245805</v>
      </c>
      <c r="H317" s="429">
        <f>H318</f>
        <v>238332</v>
      </c>
      <c r="J317" s="426"/>
      <c r="K317" s="426"/>
    </row>
    <row r="318" spans="1:11" ht="25.5">
      <c r="A318" s="432" t="s">
        <v>514</v>
      </c>
      <c r="B318" s="431"/>
      <c r="C318" s="431" t="s">
        <v>548</v>
      </c>
      <c r="D318" s="431" t="s">
        <v>552</v>
      </c>
      <c r="E318" s="436" t="s">
        <v>845</v>
      </c>
      <c r="F318" s="431"/>
      <c r="G318" s="429">
        <f>G319+G320+G321</f>
        <v>245805</v>
      </c>
      <c r="H318" s="429">
        <f>H319+H320+H321</f>
        <v>238332</v>
      </c>
      <c r="J318" s="426"/>
      <c r="K318" s="426"/>
    </row>
    <row r="319" spans="1:11" ht="63.75">
      <c r="A319" s="430" t="s">
        <v>104</v>
      </c>
      <c r="B319" s="431"/>
      <c r="C319" s="431" t="s">
        <v>548</v>
      </c>
      <c r="D319" s="431" t="s">
        <v>552</v>
      </c>
      <c r="E319" s="436" t="s">
        <v>845</v>
      </c>
      <c r="F319" s="431">
        <v>100</v>
      </c>
      <c r="G319" s="433">
        <v>228305</v>
      </c>
      <c r="H319" s="433">
        <f>175158+45674</f>
        <v>220832</v>
      </c>
      <c r="J319" s="426"/>
      <c r="K319" s="426"/>
    </row>
    <row r="320" spans="1:11" ht="25.5">
      <c r="A320" s="430" t="s">
        <v>482</v>
      </c>
      <c r="B320" s="431"/>
      <c r="C320" s="431" t="s">
        <v>548</v>
      </c>
      <c r="D320" s="431" t="s">
        <v>552</v>
      </c>
      <c r="E320" s="436" t="s">
        <v>845</v>
      </c>
      <c r="F320" s="431">
        <v>200</v>
      </c>
      <c r="G320" s="433">
        <v>15500</v>
      </c>
      <c r="H320" s="433">
        <v>15500</v>
      </c>
      <c r="J320" s="426"/>
      <c r="K320" s="426"/>
    </row>
    <row r="321" spans="1:11" ht="12.75">
      <c r="A321" s="455" t="s">
        <v>89</v>
      </c>
      <c r="B321" s="456"/>
      <c r="C321" s="456" t="s">
        <v>548</v>
      </c>
      <c r="D321" s="456" t="s">
        <v>552</v>
      </c>
      <c r="E321" s="457" t="s">
        <v>845</v>
      </c>
      <c r="F321" s="456">
        <v>800</v>
      </c>
      <c r="G321" s="458">
        <v>2000</v>
      </c>
      <c r="H321" s="458">
        <v>2000</v>
      </c>
      <c r="J321" s="426"/>
      <c r="K321" s="426"/>
    </row>
    <row r="322" spans="1:11" ht="12.75">
      <c r="A322" s="526" t="s">
        <v>749</v>
      </c>
      <c r="B322" s="420"/>
      <c r="C322" s="420"/>
      <c r="D322" s="420"/>
      <c r="E322" s="527"/>
      <c r="F322" s="420"/>
      <c r="G322" s="528">
        <v>2983970</v>
      </c>
      <c r="H322" s="528">
        <v>5813100</v>
      </c>
      <c r="J322" s="426"/>
      <c r="K322" s="426"/>
    </row>
  </sheetData>
  <sheetProtection/>
  <printOptions/>
  <pageMargins left="0.7874015748031497" right="0.32" top="0.5905511811023623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D26"/>
  <sheetViews>
    <sheetView showGridLines="0" zoomScaleSheetLayoutView="100" workbookViewId="0" topLeftCell="A1">
      <selection activeCell="C6" sqref="C6"/>
    </sheetView>
  </sheetViews>
  <sheetFormatPr defaultColWidth="9.140625" defaultRowHeight="12.75"/>
  <cols>
    <col min="1" max="1" width="22.140625" style="3" customWidth="1"/>
    <col min="2" max="2" width="50.140625" style="3" customWidth="1"/>
    <col min="3" max="3" width="14.57421875" style="3" customWidth="1"/>
    <col min="4" max="16384" width="9.140625" style="3" customWidth="1"/>
  </cols>
  <sheetData>
    <row r="1" spans="2:3" ht="12.75">
      <c r="B1" s="21"/>
      <c r="C1" s="21" t="s">
        <v>609</v>
      </c>
    </row>
    <row r="2" spans="2:3" ht="12.75">
      <c r="B2" s="21"/>
      <c r="C2" s="13" t="s">
        <v>519</v>
      </c>
    </row>
    <row r="3" spans="2:3" ht="12.75">
      <c r="B3" s="12"/>
      <c r="C3" s="68" t="s">
        <v>215</v>
      </c>
    </row>
    <row r="4" spans="1:3" ht="12.75">
      <c r="A4" s="644" t="s">
        <v>805</v>
      </c>
      <c r="B4" s="644"/>
      <c r="C4" s="644"/>
    </row>
    <row r="5" spans="1:3" ht="12.75">
      <c r="A5" s="4"/>
      <c r="C5" s="5" t="s">
        <v>16</v>
      </c>
    </row>
    <row r="6" spans="1:3" ht="33.75">
      <c r="A6" s="6" t="s">
        <v>230</v>
      </c>
      <c r="B6" s="6" t="s">
        <v>614</v>
      </c>
      <c r="C6" s="6" t="s">
        <v>842</v>
      </c>
    </row>
    <row r="7" spans="1:3" ht="12.75">
      <c r="A7" s="6">
        <v>1</v>
      </c>
      <c r="B7" s="6">
        <v>2</v>
      </c>
      <c r="C7" s="6">
        <v>3</v>
      </c>
    </row>
    <row r="8" spans="1:4" ht="25.5">
      <c r="A8" s="7" t="s">
        <v>555</v>
      </c>
      <c r="B8" s="8" t="s">
        <v>223</v>
      </c>
      <c r="C8" s="40">
        <f>C12+C17</f>
        <v>12133951.98000002</v>
      </c>
      <c r="D8" s="17"/>
    </row>
    <row r="9" spans="1:4" ht="25.5" hidden="1">
      <c r="A9" s="7" t="s">
        <v>556</v>
      </c>
      <c r="B9" s="2" t="s">
        <v>557</v>
      </c>
      <c r="C9" s="41">
        <f>C10</f>
        <v>0</v>
      </c>
      <c r="D9" s="17"/>
    </row>
    <row r="10" spans="1:4" ht="25.5" hidden="1">
      <c r="A10" s="7" t="s">
        <v>558</v>
      </c>
      <c r="B10" s="2" t="s">
        <v>559</v>
      </c>
      <c r="C10" s="41">
        <f>C11</f>
        <v>0</v>
      </c>
      <c r="D10" s="17"/>
    </row>
    <row r="11" spans="1:4" ht="38.25" hidden="1">
      <c r="A11" s="7" t="s">
        <v>224</v>
      </c>
      <c r="B11" s="2" t="s">
        <v>769</v>
      </c>
      <c r="C11" s="42"/>
      <c r="D11" s="17"/>
    </row>
    <row r="12" spans="1:4" ht="25.5">
      <c r="A12" s="7" t="s">
        <v>226</v>
      </c>
      <c r="B12" s="2" t="s">
        <v>225</v>
      </c>
      <c r="C12" s="41">
        <f>C13+C15</f>
        <v>-9217000</v>
      </c>
      <c r="D12" s="17"/>
    </row>
    <row r="13" spans="1:4" ht="38.25">
      <c r="A13" s="18" t="s">
        <v>187</v>
      </c>
      <c r="B13" s="19" t="s">
        <v>431</v>
      </c>
      <c r="C13" s="41">
        <f>C14</f>
        <v>14746000</v>
      </c>
      <c r="D13" s="17"/>
    </row>
    <row r="14" spans="1:4" ht="38.25">
      <c r="A14" s="18" t="s">
        <v>188</v>
      </c>
      <c r="B14" s="19" t="s">
        <v>432</v>
      </c>
      <c r="C14" s="42">
        <v>14746000</v>
      </c>
      <c r="D14" s="17"/>
    </row>
    <row r="15" spans="1:4" ht="38.25">
      <c r="A15" s="7" t="s">
        <v>189</v>
      </c>
      <c r="B15" s="2" t="s">
        <v>221</v>
      </c>
      <c r="C15" s="41">
        <f>C16</f>
        <v>-23963000</v>
      </c>
      <c r="D15" s="17"/>
    </row>
    <row r="16" spans="1:4" ht="38.25">
      <c r="A16" s="7" t="s">
        <v>190</v>
      </c>
      <c r="B16" s="2" t="s">
        <v>222</v>
      </c>
      <c r="C16" s="42">
        <v>-23963000</v>
      </c>
      <c r="D16" s="17"/>
    </row>
    <row r="17" spans="1:4" ht="25.5">
      <c r="A17" s="7" t="s">
        <v>421</v>
      </c>
      <c r="B17" s="9" t="s">
        <v>13</v>
      </c>
      <c r="C17" s="43">
        <f>C18+C22</f>
        <v>21350951.98000002</v>
      </c>
      <c r="D17" s="17"/>
    </row>
    <row r="18" spans="1:4" ht="12.75">
      <c r="A18" s="7" t="s">
        <v>422</v>
      </c>
      <c r="B18" s="9" t="s">
        <v>423</v>
      </c>
      <c r="C18" s="43">
        <f>C19</f>
        <v>-369981566.39</v>
      </c>
      <c r="D18" s="17"/>
    </row>
    <row r="19" spans="1:4" ht="12.75">
      <c r="A19" s="7" t="s">
        <v>424</v>
      </c>
      <c r="B19" s="9" t="s">
        <v>425</v>
      </c>
      <c r="C19" s="43">
        <f>C20</f>
        <v>-369981566.39</v>
      </c>
      <c r="D19" s="17"/>
    </row>
    <row r="20" spans="1:4" ht="25.5">
      <c r="A20" s="7" t="s">
        <v>14</v>
      </c>
      <c r="B20" s="9" t="s">
        <v>426</v>
      </c>
      <c r="C20" s="43">
        <f>C21</f>
        <v>-369981566.39</v>
      </c>
      <c r="D20" s="17"/>
    </row>
    <row r="21" spans="1:4" ht="25.5">
      <c r="A21" s="7" t="s">
        <v>427</v>
      </c>
      <c r="B21" s="9" t="s">
        <v>428</v>
      </c>
      <c r="C21" s="42">
        <v>-369981566.39</v>
      </c>
      <c r="D21" s="17"/>
    </row>
    <row r="22" spans="1:4" ht="12.75">
      <c r="A22" s="7" t="s">
        <v>405</v>
      </c>
      <c r="B22" s="9" t="s">
        <v>15</v>
      </c>
      <c r="C22" s="43">
        <f>C23</f>
        <v>391332518.37</v>
      </c>
      <c r="D22" s="17"/>
    </row>
    <row r="23" spans="1:4" ht="12.75">
      <c r="A23" s="7" t="s">
        <v>406</v>
      </c>
      <c r="B23" s="9" t="s">
        <v>761</v>
      </c>
      <c r="C23" s="43">
        <f>C24</f>
        <v>391332518.37</v>
      </c>
      <c r="D23" s="17"/>
    </row>
    <row r="24" spans="1:4" ht="25.5">
      <c r="A24" s="7" t="s">
        <v>762</v>
      </c>
      <c r="B24" s="9" t="s">
        <v>763</v>
      </c>
      <c r="C24" s="43">
        <f>C25</f>
        <v>391332518.37</v>
      </c>
      <c r="D24" s="17"/>
    </row>
    <row r="25" spans="1:4" ht="25.5">
      <c r="A25" s="627" t="s">
        <v>764</v>
      </c>
      <c r="B25" s="628" t="s">
        <v>765</v>
      </c>
      <c r="C25" s="629">
        <v>391332518.37</v>
      </c>
      <c r="D25" s="17"/>
    </row>
    <row r="26" ht="12.75">
      <c r="C26" s="20"/>
    </row>
  </sheetData>
  <sheetProtection/>
  <mergeCells count="1">
    <mergeCell ref="A4:C4"/>
  </mergeCells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2019-06-06T07:42:07Z</cp:lastPrinted>
  <dcterms:created xsi:type="dcterms:W3CDTF">2011-11-14T07:33:47Z</dcterms:created>
  <dcterms:modified xsi:type="dcterms:W3CDTF">2020-01-14T06:52:07Z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