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9600" windowHeight="11895" tabRatio="818" activeTab="0"/>
  </bookViews>
  <sheets>
    <sheet name="прил3" sheetId="1" r:id="rId1"/>
    <sheet name="прил5 " sheetId="2" r:id="rId2"/>
    <sheet name="прил7 " sheetId="3" r:id="rId3"/>
    <sheet name="прил9" sheetId="4" r:id="rId4"/>
    <sheet name="прил11" sheetId="5" r:id="rId5"/>
  </sheets>
  <definedNames>
    <definedName name="Z_61760596_1996_422C_A41D_51592B5AEA63_.wvu.PrintArea" localSheetId="3" hidden="1">'прил9'!$A$1:$C$25</definedName>
    <definedName name="Z_772B23D4_7F73_461E_BC32_1D18D8038167_.wvu.PrintArea" localSheetId="3" hidden="1">'прил9'!$A$1:$C$25</definedName>
    <definedName name="_xlnm.Print_Titles" localSheetId="4">'прил11'!$8:$8</definedName>
    <definedName name="_xlnm.Print_Titles" localSheetId="0">'прил3'!$7:$7</definedName>
    <definedName name="_xlnm.Print_Titles" localSheetId="1">'прил5 '!$7:$7</definedName>
    <definedName name="_xlnm.Print_Titles" localSheetId="2">'прил7 '!$8:$8</definedName>
    <definedName name="_xlnm.Print_Area" localSheetId="4">'прил11'!$A$1:$D$286</definedName>
    <definedName name="_xlnm.Print_Area" localSheetId="0">'прил3'!$A$1:$C$149</definedName>
    <definedName name="_xlnm.Print_Area" localSheetId="1">'прил5 '!$A$1:$F$384</definedName>
    <definedName name="_xlnm.Print_Area" localSheetId="2">'прил7 '!$A$1:$G$392</definedName>
    <definedName name="_xlnm.Print_Area" localSheetId="3">'прил9'!$A$1:$C$29</definedName>
  </definedNames>
  <calcPr fullCalcOnLoad="1"/>
</workbook>
</file>

<file path=xl/sharedStrings.xml><?xml version="1.0" encoding="utf-8"?>
<sst xmlns="http://schemas.openxmlformats.org/spreadsheetml/2006/main" count="4202" uniqueCount="744">
  <si>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</si>
  <si>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1 12 01041 01 0000 120</t>
  </si>
  <si>
    <t>Плата за размещение отходов производства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</si>
  <si>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</si>
  <si>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</si>
  <si>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1 16 21040 04 0000 140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</si>
  <si>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</si>
  <si>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</si>
  <si>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Cубсидии бюджетам субъектов Российской Федерации и муниципальных образований (межбюджетные субсидии)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</si>
  <si>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</si>
  <si>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</si>
  <si>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</si>
  <si>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</si>
  <si>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</si>
  <si>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Субсидии местным бюджетам для проведения капитального ремонта муниципальных образовательных организаций</t>
  </si>
  <si>
    <t>Основное мероприятие "Профилактика правонарушений в жилом секторе, на улицах и в общественных местах"</t>
  </si>
  <si>
    <t>Основное мероприятие "Обеспечение материального стимулирования деятельности народных дружинников"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</si>
  <si>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</si>
  <si>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местным бюджетам по проведению капитального ремонта учреждений культуры</t>
  </si>
  <si>
    <t>2 07 04050 04 0000 180</t>
  </si>
  <si>
    <t>Охрана окружающей среды</t>
  </si>
  <si>
    <t>Другие вопросы в области охраны окружающей среды</t>
  </si>
  <si>
    <t>07 4 00 00000</t>
  </si>
  <si>
    <t>Основное мероприятие" Реализация проектов в области обращения с отходами"</t>
  </si>
  <si>
    <t>07 4 01 С1457</t>
  </si>
  <si>
    <t>Подпрограмма "Организация деятельности в области обращения с отходами, в том числе с твердыми коммунальными отходами"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</si>
  <si>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</si>
  <si>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</si>
  <si>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</si>
  <si>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</si>
  <si>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</si>
  <si>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</si>
  <si>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</si>
  <si>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</si>
  <si>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</si>
  <si>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</si>
  <si>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</si>
  <si>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</si>
  <si>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</si>
  <si>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</si>
  <si>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</si>
  <si>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Основное мероприятие "Обеспечение деятельности и выполнение функций отдела образования администрации города Щигры"</t>
  </si>
  <si>
    <t>77 2 00 С1416</t>
  </si>
  <si>
    <t>Мероприятия по разработке документов территориального планирования и градостроительного зонирования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</si>
  <si>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</si>
  <si>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</si>
  <si>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</si>
  <si>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</si>
  <si>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</si>
  <si>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</si>
  <si>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</si>
  <si>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</si>
  <si>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</si>
  <si>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</si>
  <si>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</si>
  <si>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</si>
  <si>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</si>
  <si>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</si>
  <si>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</si>
  <si>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05</t>
  </si>
  <si>
    <t>07</t>
  </si>
  <si>
    <t>Получение кредитов от кредитных организаций бюджетами городских округов в валюте Российской Федерации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</si>
  <si>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</si>
  <si>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</si>
  <si>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</si>
  <si>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2 02 19999 00 0000 150</t>
  </si>
  <si>
    <t>Прочие дотации</t>
  </si>
  <si>
    <t>2 02 19999 04 0000 150</t>
  </si>
  <si>
    <t>Прочие дотации бюджетам городских округов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</si>
  <si>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</si>
  <si>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</si>
  <si>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</si>
  <si>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</si>
  <si>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</si>
  <si>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</si>
  <si>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</si>
  <si>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</si>
  <si>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</si>
  <si>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</si>
  <si>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</si>
  <si>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</si>
  <si>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</si>
  <si>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</si>
  <si>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</si>
  <si>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</si>
  <si>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</si>
  <si>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Подпрограмма "Пожарная безопасность и защита населения"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</si>
  <si>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13 3 00 00000</t>
  </si>
  <si>
    <t>Основное мероприятие"Организация обучения населения мерам пожарной безопасности и своевременное информирование населения о мерах пожарной безопасности"</t>
  </si>
  <si>
    <t>13 3 02 00000</t>
  </si>
  <si>
    <t>13 3 02 С1415</t>
  </si>
  <si>
    <t>Обеспечение первичных мер пожарной безопасности в границах населенных пунктов муниципальных образований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</si>
  <si>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</si>
  <si>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03 4 00 00000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</si>
  <si>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</si>
  <si>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03 4 01 00000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</si>
  <si>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</si>
  <si>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03 4 01 С1421</t>
  </si>
  <si>
    <t>Капитальные вложения в объекты государственной (муниципальной) собственности</t>
  </si>
  <si>
    <t>03 2 03 C1401</t>
  </si>
  <si>
    <t xml:space="preserve">Прочие доходы от оказания платных услуг (работ) получателями средств бюджетов городских округов </t>
  </si>
  <si>
    <t>1 13 01994 04 0000 130</t>
  </si>
  <si>
    <t>1 14 00000 00 0000 000</t>
  </si>
  <si>
    <t>Доходы от продажи материальных и нематериальных активов</t>
  </si>
  <si>
    <t>1 14 06000 00 0000 430</t>
  </si>
  <si>
    <t>2 02 15002 00 0000 150</t>
  </si>
  <si>
    <t>2 02 15002 04 0000 150</t>
  </si>
  <si>
    <t>2 02 25555 04 0000 150</t>
  </si>
  <si>
    <t>2 02 29999 04 0000 150</t>
  </si>
  <si>
    <t xml:space="preserve">2 02 35120 00 0000 150 </t>
  </si>
  <si>
    <t xml:space="preserve">2 02 35120 04 0000 150 </t>
  </si>
  <si>
    <t>2 02 20000 00 0000 150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</si>
  <si>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</si>
  <si>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</si>
  <si>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</si>
  <si>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</si>
  <si>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Мероприятия государственной программы Российской Федерации «Доступная среда» на 2011 - 2020 годы</t>
  </si>
  <si>
    <t>Обеспечение доступности качественного образования</t>
  </si>
  <si>
    <t xml:space="preserve">                           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</si>
  <si>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2019 год</t>
  </si>
  <si>
    <t>ИСТОЧНИКИ  ФИНАНСИРОВАНИЯ ДЕФИЦИТА БЮДЖЕТА ГОРОДА ЩИГРЫ НА 2019 ГОД</t>
  </si>
  <si>
    <t>Ведомственная структура расходов бюджета города Щигры на 2019 год</t>
  </si>
  <si>
    <t>78 1 00 С1403</t>
  </si>
  <si>
    <t>02 0 00 00000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</si>
  <si>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</si>
  <si>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</si>
  <si>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</si>
  <si>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</si>
  <si>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</si>
  <si>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</si>
  <si>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</si>
  <si>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</si>
  <si>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</si>
  <si>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</si>
  <si>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</si>
  <si>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</si>
  <si>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</si>
  <si>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</si>
  <si>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</si>
  <si>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</si>
  <si>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</si>
  <si>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</si>
  <si>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</si>
  <si>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</si>
  <si>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</si>
  <si>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</si>
  <si>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</si>
  <si>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13 2 01 С1401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</si>
  <si>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</si>
  <si>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</si>
  <si>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</si>
  <si>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</si>
  <si>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</si>
  <si>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</si>
  <si>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</si>
  <si>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Приложение №11</t>
  </si>
  <si>
    <t>СУММА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</si>
  <si>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</si>
  <si>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</si>
  <si>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</si>
  <si>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</si>
  <si>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</si>
  <si>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</si>
  <si>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 xml:space="preserve">Молодежная политика </t>
  </si>
  <si>
    <t>Здравоохранение</t>
  </si>
  <si>
    <t>Санитарно-эпидемиологическое благополучие</t>
  </si>
  <si>
    <t>77 2 00 12700</t>
  </si>
  <si>
    <t>77 2 00 12712</t>
  </si>
  <si>
    <t>Коммунальное хозяйство</t>
  </si>
  <si>
    <t>Мероприятия в области коммунального хозяйства</t>
  </si>
  <si>
    <t>Обеспечение функционирования местных администраций</t>
  </si>
  <si>
    <t>03 2 02 L0270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</si>
  <si>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</si>
  <si>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</si>
  <si>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</si>
  <si>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деятельности администрации города Щигры</t>
  </si>
  <si>
    <t>Приложение №5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</si>
  <si>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</si>
  <si>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</si>
  <si>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</si>
  <si>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</si>
  <si>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</si>
  <si>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</si>
  <si>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</si>
  <si>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</si>
  <si>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</si>
  <si>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</si>
  <si>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</si>
  <si>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</si>
  <si>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</si>
  <si>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</si>
  <si>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</si>
  <si>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11 1 02 С1424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</si>
  <si>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</si>
  <si>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11 2 02 00000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</si>
  <si>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</si>
  <si>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</si>
  <si>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</si>
  <si>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</si>
  <si>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</si>
  <si>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</si>
  <si>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</si>
  <si>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</si>
  <si>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</si>
  <si>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12 1 01 13180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</si>
  <si>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</si>
  <si>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</si>
  <si>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</si>
  <si>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</si>
  <si>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</si>
  <si>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</si>
  <si>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</si>
  <si>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</si>
  <si>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</si>
  <si>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</si>
  <si>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</si>
  <si>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</si>
  <si>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</si>
  <si>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1 08 07150 01 0000 110</t>
  </si>
  <si>
    <t>Государственная пошлина за выдачу разрешения на установку рекламной конструкции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</si>
  <si>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</si>
  <si>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</si>
  <si>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</si>
  <si>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</si>
  <si>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</si>
  <si>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07 3 01 С1430</t>
  </si>
  <si>
    <t>Мероприятия по капитальному ремонту муниципального жилищного фонда</t>
  </si>
  <si>
    <t>07 3 01 00000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</si>
  <si>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 на 2016-2020 годы</t>
  </si>
  <si>
    <t>Муниципальная программа г.Щигры Курской области"Развитие образования в г. Щигры Курской области" на 2016-2020 годы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</si>
  <si>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</si>
  <si>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</si>
  <si>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12 1 02 С1435</t>
  </si>
  <si>
    <t>03 2 04 С1447</t>
  </si>
  <si>
    <t>Мероприятия в области образования</t>
  </si>
  <si>
    <t>12 1 02 00000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</si>
  <si>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</si>
  <si>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</si>
  <si>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</si>
  <si>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</si>
  <si>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77 2 00 51200</t>
  </si>
  <si>
    <t>11 1 02 S3390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</si>
  <si>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</si>
  <si>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</si>
  <si>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</si>
  <si>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</si>
  <si>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</si>
  <si>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</si>
  <si>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</si>
  <si>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</si>
  <si>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</si>
  <si>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</si>
  <si>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</si>
  <si>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</si>
  <si>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</si>
  <si>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</si>
  <si>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</si>
  <si>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</si>
  <si>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</si>
  <si>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</si>
  <si>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</si>
  <si>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</si>
  <si>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</si>
  <si>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</si>
  <si>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</si>
  <si>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</si>
  <si>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</si>
  <si>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</si>
  <si>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</si>
  <si>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</si>
  <si>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</si>
  <si>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</si>
  <si>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</si>
  <si>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</si>
  <si>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</si>
  <si>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</si>
  <si>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</si>
  <si>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</si>
  <si>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</si>
  <si>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</si>
  <si>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</si>
  <si>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</si>
  <si>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</si>
  <si>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</si>
  <si>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Мероприятия, связанные с организацией отдыха детей в каникулярное время</t>
  </si>
  <si>
    <t>08 1 01 S3540</t>
  </si>
  <si>
    <t>Муниципальная программа "Профилактика наркомании и медико-социальная реабилитация больных наркоманией в городе Щигры" на 2018-2023 годы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</si>
  <si>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 на 2018-2023 годы</t>
  </si>
  <si>
    <t>22 0 00 00000</t>
  </si>
  <si>
    <t>22 2 00 00000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</si>
  <si>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</si>
  <si>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</si>
  <si>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Приложение №9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</si>
  <si>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</si>
  <si>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</si>
  <si>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</si>
  <si>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</si>
  <si>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</si>
  <si>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>Сумма</t>
  </si>
  <si>
    <t xml:space="preserve">Создание условий для организации досуга и обеспечения жителей  услугами организаций культуры </t>
  </si>
  <si>
    <t>Другие вопросы в области культуры, кинематографии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</si>
  <si>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</si>
  <si>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</si>
  <si>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</si>
  <si>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</si>
  <si>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</si>
  <si>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</si>
  <si>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</si>
  <si>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</si>
  <si>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</si>
  <si>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</si>
  <si>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</si>
  <si>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</si>
  <si>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</si>
  <si>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</si>
  <si>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</si>
  <si>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</si>
  <si>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</si>
  <si>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</si>
  <si>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</si>
  <si>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</si>
  <si>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</si>
  <si>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</si>
  <si>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</si>
  <si>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</si>
  <si>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</si>
  <si>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</si>
  <si>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</si>
  <si>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</si>
  <si>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</si>
  <si>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</si>
  <si>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</si>
  <si>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</si>
  <si>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</si>
  <si>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</si>
  <si>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</si>
  <si>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03 2 02 S3050</t>
  </si>
  <si>
    <t>Муниципальная програма  "Развитие культуры в городе Щигры"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</si>
  <si>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</si>
  <si>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</si>
  <si>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</si>
  <si>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 xml:space="preserve">Плата за размещение твердых коммунальных отходов </t>
  </si>
  <si>
    <t>1 12 01042 01 0000 120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</si>
  <si>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</si>
  <si>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</si>
  <si>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</si>
  <si>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</si>
  <si>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</si>
  <si>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</si>
  <si>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</si>
  <si>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</si>
  <si>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</si>
  <si>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</si>
  <si>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</si>
  <si>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</si>
  <si>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</si>
  <si>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</si>
  <si>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</si>
  <si>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</si>
  <si>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</si>
  <si>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Жилищно-коммунальное хозяйство</t>
  </si>
  <si>
    <t xml:space="preserve">Сумма
</t>
  </si>
  <si>
    <t>ДОХОДЫ, ВСЕГО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</si>
  <si>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</si>
  <si>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</si>
  <si>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</si>
  <si>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</si>
  <si>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</si>
  <si>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</si>
  <si>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</si>
  <si>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</si>
  <si>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</si>
  <si>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Другие вопросы в области национальной экономики</t>
  </si>
  <si>
    <t>от13.12.2019г. №155 -6-РД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</si>
  <si>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</si>
  <si>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Пенсионное обеспечение</t>
  </si>
  <si>
    <t>02 2 05 00000</t>
  </si>
  <si>
    <t>02 2 05 С1445</t>
  </si>
  <si>
    <t>Выплата пенсий за выслугу лет и доплат к пенсиям муниципальных служащих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</si>
  <si>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</si>
  <si>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</si>
  <si>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</si>
  <si>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</si>
  <si>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</si>
  <si>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</si>
  <si>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</si>
  <si>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</si>
  <si>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</si>
  <si>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</si>
  <si>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</si>
  <si>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</si>
  <si>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</si>
  <si>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</si>
  <si>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</si>
  <si>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</si>
  <si>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</si>
  <si>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Субвенции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</si>
  <si>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</si>
  <si>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в т.ч. на организацию мероприятий при осуществлении деятельности по обращению с животными без владельцев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</si>
  <si>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</si>
  <si>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</si>
  <si>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</si>
  <si>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</si>
  <si>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 пунктами 1 и 2, статьи 120, статьями 125,126,128, 129, 129.1,132,133,134,135,135.1 Налогового кодекса Российской Федерации</t>
  </si>
  <si>
    <t>1 16 03030 01 0000 140</t>
  </si>
  <si>
    <t>2 07 00000 00 0000 000</t>
  </si>
  <si>
    <t>Другие вопросы в области социальной политики</t>
  </si>
  <si>
    <t>001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</si>
  <si>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</si>
  <si>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</si>
  <si>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</si>
  <si>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</si>
  <si>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</si>
  <si>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</si>
  <si>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</si>
  <si>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</si>
  <si>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</si>
  <si>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2 02 40000 00 0000 150</t>
  </si>
  <si>
    <t>Иные межбюджетные трансферты</t>
  </si>
  <si>
    <t>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</si>
  <si>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</si>
  <si>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</si>
  <si>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</si>
  <si>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</t>
  </si>
  <si>
    <t>2 07 04000 04 0000 150</t>
  </si>
  <si>
    <t>Прочие безвозмездные поступления в бюджеты городских округов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</si>
  <si>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</si>
  <si>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</si>
  <si>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2 19 60010 04 0000 150</t>
  </si>
  <si>
    <t>ВОЗВРАТ ОСТАТКОВ СУБСИДИЙ, СУБВЕНЦИЙ И ИНЫХ МЕЖБЮДЖЕТНЫХ ТРАНСФЕРТОВ, ИМЕЮЩИХ ЦЕЛЕВОЕ НАЗНАЧЕНИЕ, ПРОШЛЫХ ЛЕТ</t>
  </si>
  <si>
    <t>Резервные фонды Администрации Курской области</t>
  </si>
  <si>
    <t>78 1 00 10030</t>
  </si>
  <si>
    <t>03 2 02 13050</t>
  </si>
  <si>
    <t>Проведение капитального ремонта муниципальных образовательных организаций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</si>
  <si>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</si>
  <si>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</si>
  <si>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Организация отдыха детей в каникулярное время</t>
  </si>
  <si>
    <t>08 1 01 13540</t>
  </si>
  <si>
    <t>убрать</t>
  </si>
  <si>
    <t>01 3 01 13320</t>
  </si>
  <si>
    <t>Проведение капитального ремонта учреждений культуры</t>
  </si>
  <si>
    <t xml:space="preserve">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</si>
  <si>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</si>
  <si>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</si>
  <si>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</si>
  <si>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</si>
  <si>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</si>
  <si>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</si>
  <si>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</si>
  <si>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</si>
  <si>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</si>
  <si>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</si>
  <si>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</si>
  <si>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</si>
  <si>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Основное мероприятие "Выплата пенсии за выслугу лет и доплат к пенсиям муниципальным служащим"</t>
  </si>
  <si>
    <t>1 03 02250 01 0000 110</t>
  </si>
  <si>
    <t>Обеспечение проведения капитального ремонта учреждений культуры</t>
  </si>
  <si>
    <t>01 3 01 S3320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</si>
  <si>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</si>
  <si>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</si>
  <si>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</si>
  <si>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</si>
  <si>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</si>
  <si>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</si>
  <si>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</si>
  <si>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</si>
  <si>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</si>
  <si>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</si>
  <si>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</si>
  <si>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</si>
  <si>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</si>
  <si>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</si>
  <si>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</si>
  <si>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</si>
  <si>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области"</t>
  </si>
  <si>
    <t xml:space="preserve">Муниципальная программа "Профилактика наркомании и медико-социальная реабилитация больных наркоманией в городе Щигры" </t>
  </si>
  <si>
    <t xml:space="preserve"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 </t>
  </si>
  <si>
    <t xml:space="preserve">Мероприятия государственной программы Российской Федерации «Доступная среда»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</si>
  <si>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</si>
  <si>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</t>
  </si>
  <si>
    <t>Муниципальная программа "Профилактика наркомании и медико-социальная реабилитация больных наркоманией в городе Щигры"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</si>
  <si>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</si>
  <si>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</si>
  <si>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</si>
  <si>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</si>
  <si>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</si>
  <si>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</si>
  <si>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</si>
  <si>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</si>
  <si>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</si>
  <si>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 табачной продукции</t>
  </si>
  <si>
    <t>1 16 25000 00 0000 140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</si>
  <si>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</si>
  <si>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</si>
  <si>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</si>
  <si>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</si>
  <si>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</si>
  <si>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</si>
  <si>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</si>
  <si>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</si>
  <si>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2019 год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</si>
  <si>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</si>
  <si>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</si>
  <si>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</si>
  <si>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</si>
  <si>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</si>
  <si>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</si>
  <si>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</si>
  <si>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</si>
  <si>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</si>
  <si>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</si>
  <si>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</si>
  <si>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</si>
  <si>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</si>
  <si>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</si>
  <si>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</si>
  <si>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</si>
  <si>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</si>
  <si>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</si>
  <si>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</si>
  <si>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</si>
  <si>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</si>
  <si>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</si>
  <si>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</si>
  <si>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</si>
  <si>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</si>
  <si>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</si>
  <si>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</si>
  <si>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</si>
  <si>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</si>
  <si>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</si>
  <si>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</si>
  <si>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</si>
  <si>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</si>
  <si>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</si>
  <si>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</si>
  <si>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</si>
  <si>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</si>
  <si>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</si>
  <si>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ПРОГНОЗИРУЕМОЕ ПОСТУПЛЕНИЕ  ДОХОДОВ В БЮДЖЕТ ГОРОДА ЩИГРЫ В 2019 ГОДУ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</si>
  <si>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</si>
  <si>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</si>
  <si>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Субсидии местным бюджетам на реализацию малых проектов в сфере благоустройства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</si>
  <si>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</si>
  <si>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</si>
  <si>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</si>
  <si>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Капитальные вложения в объекты государственной (муниципальной) собственности"</t>
  </si>
  <si>
    <t>07 3 05 00000</t>
  </si>
  <si>
    <t xml:space="preserve">Основное мероприятие" Реализация малых проектов в сфере благоустройства территорий муниципального образования" </t>
  </si>
  <si>
    <t>Реализация малых проектов в сфере благоустройства</t>
  </si>
  <si>
    <t>07 3 05 10090</t>
  </si>
  <si>
    <t>Реализация малых проектов в сфере благоустройства города Щигры</t>
  </si>
  <si>
    <t>07 3 05 S0090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</si>
  <si>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</si>
  <si>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11 1 02 13390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</si>
  <si>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</si>
  <si>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</si>
  <si>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</si>
  <si>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</si>
  <si>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</si>
  <si>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</si>
  <si>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</si>
  <si>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</si>
  <si>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</si>
  <si>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</si>
  <si>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</si>
  <si>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</si>
  <si>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</si>
  <si>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</si>
  <si>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</si>
  <si>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</si>
  <si>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</si>
  <si>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</si>
  <si>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</si>
  <si>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</si>
  <si>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</si>
  <si>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</si>
  <si>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</si>
  <si>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7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</si>
  <si>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</si>
  <si>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</si>
  <si>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</si>
  <si>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</si>
  <si>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</si>
  <si>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</si>
  <si>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</si>
  <si>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</si>
  <si>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</si>
  <si>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</si>
  <si>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</si>
  <si>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</si>
  <si>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</si>
  <si>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</si>
  <si>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</si>
  <si>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</si>
  <si>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</si>
  <si>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</si>
  <si>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</si>
  <si>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</si>
  <si>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</si>
  <si>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</si>
  <si>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>Обеспечение проведения капитального ремонта муниципальных образовательных организаций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</si>
  <si>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</si>
  <si>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</si>
  <si>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</si>
  <si>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</si>
  <si>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</si>
  <si>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Приложение №3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</si>
  <si>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</si>
  <si>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</si>
  <si>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</si>
  <si>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</si>
  <si>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</si>
  <si>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</si>
  <si>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</si>
  <si>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</si>
  <si>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Резервный фонд местной администрации</t>
  </si>
  <si>
    <t>от13.12.2019г. №155-6-РД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</si>
  <si>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</si>
  <si>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</si>
  <si>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Основное мероприятие «Реализация мероприятий в области коммунального хозяйства»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</si>
  <si>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</si>
  <si>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</si>
  <si>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07 3 03 С1431</t>
  </si>
  <si>
    <t>07 3 03 00000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</si>
  <si>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</si>
  <si>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</si>
  <si>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</si>
  <si>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</si>
  <si>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</si>
  <si>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</si>
  <si>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</si>
  <si>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</si>
  <si>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</si>
  <si>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</si>
  <si>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77 2 00 С1404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</si>
  <si>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</si>
  <si>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</si>
  <si>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</si>
  <si>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</si>
  <si>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</si>
  <si>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</si>
  <si>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</si>
  <si>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</si>
  <si>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</si>
  <si>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</si>
  <si>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</si>
  <si>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</si>
  <si>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</si>
  <si>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</si>
  <si>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</si>
  <si>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</si>
  <si>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</si>
  <si>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</si>
  <si>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</si>
  <si>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</si>
  <si>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</si>
  <si>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</si>
  <si>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</si>
  <si>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</si>
  <si>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</si>
  <si>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</si>
  <si>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</si>
  <si>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</si>
  <si>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</si>
  <si>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</si>
  <si>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</si>
  <si>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</si>
  <si>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</si>
  <si>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</si>
  <si>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</si>
  <si>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11 2 02 С1601</t>
  </si>
  <si>
    <t>Разработка комплексных схем организации дорожного движения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</si>
  <si>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</si>
  <si>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Подпрограмма "Управление муниципальным долгом города Щигры" муниципальной программы "Повышение эффективности управления финансами"</t>
  </si>
  <si>
    <t>13</t>
  </si>
  <si>
    <t>03</t>
  </si>
  <si>
    <t>09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</si>
  <si>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</si>
  <si>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</si>
  <si>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ИСТОЧНИКИ ВНУТРЕННЕГО ФИНАНСИРОВАНИЯ ДЕФИЦИТОВ БЮДЖЕТОВ</t>
  </si>
  <si>
    <t>01 02 00 00 04 0000 710</t>
  </si>
  <si>
    <t>Бюджетные кредиты от других бюджетов бюджетной системы Российской Федерации</t>
  </si>
  <si>
    <t>01 03 00 00 00 0000 000</t>
  </si>
  <si>
    <t>ГРБС</t>
  </si>
  <si>
    <t>Глава муниципального образования</t>
  </si>
  <si>
    <t>Приложение №7</t>
  </si>
  <si>
    <t>Код бюджетной классификации Российской Федерации</t>
  </si>
  <si>
    <t>БЕЗВОЗМЕЗДНЫЕ ПОСТУПЛЕНИЯ</t>
  </si>
  <si>
    <t>Дотации бюджетам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</si>
  <si>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</si>
  <si>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</si>
  <si>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</si>
  <si>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</si>
  <si>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</si>
  <si>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</si>
  <si>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</si>
  <si>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</si>
  <si>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1 16 25060 01 0000 140</t>
  </si>
  <si>
    <t>Денежные взыскания (штрафы) за нарушение земельного законодательства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</si>
  <si>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</si>
  <si>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</si>
  <si>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</si>
  <si>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</si>
  <si>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</si>
  <si>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</si>
  <si>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</si>
  <si>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</si>
  <si>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</si>
  <si>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</si>
  <si>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</si>
  <si>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</si>
  <si>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</si>
  <si>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</si>
  <si>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</si>
  <si>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</si>
  <si>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</si>
  <si>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</si>
  <si>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</si>
  <si>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</si>
  <si>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</si>
  <si>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</si>
  <si>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</si>
  <si>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</si>
  <si>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</si>
  <si>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</si>
  <si>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</si>
  <si>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</si>
  <si>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</si>
  <si>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</si>
  <si>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</si>
  <si>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</si>
  <si>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12 1 01 С1435</t>
  </si>
  <si>
    <t>21 0 F2 00000</t>
  </si>
  <si>
    <t>Основное мероприятие"Формирование комфортной городской среды"</t>
  </si>
  <si>
    <t>21 0 F2 55550</t>
  </si>
  <si>
    <t>Реализация программ формирования современной городской среды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</si>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</sst>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0.000"/>
    <numFmt numFmtId="175" formatCode="0.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0.00000"/>
    <numFmt numFmtId="198" formatCode="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0"/>
      <color indexed="63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3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3" fillId="12" borderId="1" applyNumberFormat="0" applyAlignment="0" applyProtection="0"/>
    <xf numFmtId="0" fontId="3" fillId="5" borderId="1" applyNumberFormat="0" applyAlignment="0" applyProtection="0"/>
    <xf numFmtId="0" fontId="4" fillId="35" borderId="2" applyNumberFormat="0" applyAlignment="0" applyProtection="0"/>
    <xf numFmtId="0" fontId="4" fillId="18" borderId="2" applyNumberFormat="0" applyAlignment="0" applyProtection="0"/>
    <xf numFmtId="0" fontId="5" fillId="35" borderId="1" applyNumberFormat="0" applyAlignment="0" applyProtection="0"/>
    <xf numFmtId="0" fontId="5" fillId="18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5" applyNumberFormat="0" applyFill="0" applyAlignment="0" applyProtection="0"/>
    <xf numFmtId="0" fontId="37" fillId="0" borderId="6" applyNumberFormat="0" applyFill="0" applyAlignment="0" applyProtection="0"/>
    <xf numFmtId="0" fontId="8" fillId="0" borderId="7" applyNumberFormat="0" applyFill="0" applyAlignment="0" applyProtection="0"/>
    <xf numFmtId="0" fontId="3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10" fillId="36" borderId="11" applyNumberFormat="0" applyAlignment="0" applyProtection="0"/>
    <xf numFmtId="0" fontId="10" fillId="31" borderId="11" applyNumberFormat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top" wrapText="1"/>
      <protection/>
    </xf>
    <xf numFmtId="0" fontId="33" fillId="0" borderId="0">
      <alignment vertical="top" wrapText="1"/>
      <protection/>
    </xf>
    <xf numFmtId="0" fontId="33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170" fontId="33" fillId="0" borderId="0">
      <alignment vertical="top" wrapText="1"/>
      <protection/>
    </xf>
    <xf numFmtId="0" fontId="4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9" borderId="12" applyNumberFormat="0" applyAlignment="0" applyProtection="0"/>
    <xf numFmtId="0" fontId="1" fillId="9" borderId="12" applyNumberFormat="0" applyFont="0" applyAlignment="0" applyProtection="0"/>
    <xf numFmtId="9" fontId="0" fillId="0" borderId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4" xfId="95" applyFont="1" applyBorder="1" applyAlignment="1">
      <alignment vertical="center" wrapText="1"/>
      <protection/>
    </xf>
    <xf numFmtId="0" fontId="0" fillId="0" borderId="0" xfId="95" applyFont="1">
      <alignment/>
      <protection/>
    </xf>
    <xf numFmtId="0" fontId="0" fillId="0" borderId="0" xfId="95" applyFont="1" applyAlignment="1">
      <alignment horizontal="right"/>
      <protection/>
    </xf>
    <xf numFmtId="49" fontId="0" fillId="0" borderId="0" xfId="95" applyNumberFormat="1" applyFont="1" applyAlignment="1">
      <alignment horizontal="right"/>
      <protection/>
    </xf>
    <xf numFmtId="0" fontId="19" fillId="0" borderId="15" xfId="95" applyFont="1" applyBorder="1" applyAlignment="1">
      <alignment horizontal="center" vertical="center" wrapText="1"/>
      <protection/>
    </xf>
    <xf numFmtId="0" fontId="0" fillId="0" borderId="14" xfId="95" applyFont="1" applyBorder="1" applyAlignment="1">
      <alignment horizontal="center" vertical="top" wrapText="1"/>
      <protection/>
    </xf>
    <xf numFmtId="0" fontId="20" fillId="0" borderId="16" xfId="95" applyFont="1" applyBorder="1" applyAlignment="1">
      <alignment vertical="center" wrapText="1"/>
      <protection/>
    </xf>
    <xf numFmtId="0" fontId="0" fillId="0" borderId="14" xfId="95" applyFont="1" applyBorder="1" applyAlignment="1">
      <alignment vertical="top" wrapText="1"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17" xfId="0" applyNumberFormat="1" applyFont="1" applyBorder="1" applyAlignment="1">
      <alignment horizontal="center" vertical="top" wrapText="1"/>
    </xf>
    <xf numFmtId="0" fontId="25" fillId="0" borderId="14" xfId="91" applyFont="1" applyFill="1" applyBorder="1" applyAlignment="1">
      <alignment horizontal="left" wrapText="1"/>
      <protection/>
    </xf>
    <xf numFmtId="0" fontId="23" fillId="0" borderId="14" xfId="91" applyFont="1" applyFill="1" applyBorder="1" applyAlignment="1">
      <alignment horizontal="left" wrapText="1"/>
      <protection/>
    </xf>
    <xf numFmtId="0" fontId="23" fillId="0" borderId="14" xfId="91" applyFont="1" applyFill="1" applyBorder="1" applyAlignment="1">
      <alignment horizontal="center" wrapText="1"/>
      <protection/>
    </xf>
    <xf numFmtId="0" fontId="23" fillId="0" borderId="14" xfId="91" applyFont="1" applyFill="1" applyBorder="1" applyAlignment="1">
      <alignment wrapText="1"/>
      <protection/>
    </xf>
    <xf numFmtId="0" fontId="23" fillId="0" borderId="14" xfId="91" applyFont="1" applyFill="1" applyBorder="1" applyAlignment="1">
      <alignment horizontal="center"/>
      <protection/>
    </xf>
    <xf numFmtId="0" fontId="24" fillId="0" borderId="16" xfId="91" applyFont="1" applyFill="1" applyBorder="1" applyAlignment="1">
      <alignment wrapText="1"/>
      <protection/>
    </xf>
    <xf numFmtId="197" fontId="0" fillId="0" borderId="0" xfId="95" applyNumberFormat="1" applyFont="1">
      <alignment/>
      <protection/>
    </xf>
    <xf numFmtId="49" fontId="0" fillId="0" borderId="17" xfId="94" applyNumberFormat="1" applyFont="1" applyBorder="1" applyAlignment="1">
      <alignment horizontal="center" vertical="top" wrapText="1"/>
      <protection/>
    </xf>
    <xf numFmtId="49" fontId="0" fillId="0" borderId="17" xfId="94" applyNumberFormat="1" applyFont="1" applyBorder="1" applyAlignment="1">
      <alignment vertical="top" wrapText="1"/>
      <protection/>
    </xf>
    <xf numFmtId="1" fontId="0" fillId="0" borderId="0" xfId="95" applyNumberFormat="1" applyFont="1">
      <alignment/>
      <protection/>
    </xf>
    <xf numFmtId="49" fontId="0" fillId="0" borderId="0" xfId="95" applyNumberFormat="1" applyFont="1" applyBorder="1" applyAlignment="1">
      <alignment horizontal="right"/>
      <protection/>
    </xf>
    <xf numFmtId="0" fontId="0" fillId="0" borderId="14" xfId="0" applyFont="1" applyBorder="1" applyAlignment="1">
      <alignment wrapText="1"/>
    </xf>
    <xf numFmtId="0" fontId="0" fillId="40" borderId="14" xfId="0" applyFill="1" applyBorder="1" applyAlignment="1">
      <alignment vertical="top" wrapText="1"/>
    </xf>
    <xf numFmtId="0" fontId="0" fillId="40" borderId="14" xfId="0" applyFont="1" applyFill="1" applyBorder="1" applyAlignment="1">
      <alignment vertical="top" wrapText="1"/>
    </xf>
    <xf numFmtId="0" fontId="23" fillId="0" borderId="14" xfId="0" applyFont="1" applyBorder="1" applyAlignment="1">
      <alignment wrapText="1"/>
    </xf>
    <xf numFmtId="0" fontId="23" fillId="7" borderId="14" xfId="0" applyFont="1" applyFill="1" applyBorder="1" applyAlignment="1">
      <alignment wrapText="1"/>
    </xf>
    <xf numFmtId="0" fontId="0" fillId="40" borderId="14" xfId="0" applyFont="1" applyFill="1" applyBorder="1" applyAlignment="1">
      <alignment vertical="top" wrapText="1"/>
    </xf>
    <xf numFmtId="0" fontId="23" fillId="7" borderId="14" xfId="91" applyFont="1" applyFill="1" applyBorder="1" applyAlignment="1">
      <alignment horizontal="center"/>
      <protection/>
    </xf>
    <xf numFmtId="0" fontId="31" fillId="0" borderId="14" xfId="0" applyFont="1" applyBorder="1" applyAlignment="1">
      <alignment wrapText="1"/>
    </xf>
    <xf numFmtId="0" fontId="25" fillId="7" borderId="14" xfId="91" applyFont="1" applyFill="1" applyBorder="1" applyAlignment="1">
      <alignment horizontal="left" wrapText="1"/>
      <protection/>
    </xf>
    <xf numFmtId="198" fontId="0" fillId="7" borderId="14" xfId="89" applyNumberFormat="1" applyFont="1" applyFill="1" applyBorder="1" applyAlignment="1" applyProtection="1">
      <alignment horizontal="left" wrapText="1"/>
      <protection hidden="1"/>
    </xf>
    <xf numFmtId="0" fontId="0" fillId="7" borderId="14" xfId="0" applyFont="1" applyFill="1" applyBorder="1" applyAlignment="1">
      <alignment wrapText="1"/>
    </xf>
    <xf numFmtId="0" fontId="23" fillId="7" borderId="14" xfId="91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justify" wrapText="1"/>
    </xf>
    <xf numFmtId="0" fontId="23" fillId="7" borderId="14" xfId="91" applyFont="1" applyFill="1" applyBorder="1" applyAlignment="1">
      <alignment horizontal="center" wrapText="1"/>
      <protection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 vertical="top" wrapText="1"/>
    </xf>
    <xf numFmtId="0" fontId="31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2" fontId="21" fillId="0" borderId="16" xfId="95" applyNumberFormat="1" applyFont="1" applyBorder="1" applyAlignment="1">
      <alignment horizontal="center" vertical="center" wrapText="1"/>
      <protection/>
    </xf>
    <xf numFmtId="2" fontId="21" fillId="0" borderId="14" xfId="95" applyNumberFormat="1" applyFont="1" applyBorder="1" applyAlignment="1">
      <alignment horizontal="center" vertical="center" wrapText="1"/>
      <protection/>
    </xf>
    <xf numFmtId="2" fontId="0" fillId="0" borderId="14" xfId="95" applyNumberFormat="1" applyFont="1" applyBorder="1" applyAlignment="1">
      <alignment horizontal="center" vertical="center" wrapText="1"/>
      <protection/>
    </xf>
    <xf numFmtId="2" fontId="21" fillId="0" borderId="14" xfId="95" applyNumberFormat="1" applyFont="1" applyBorder="1" applyAlignment="1">
      <alignment horizontal="center" vertical="top" wrapText="1"/>
      <protection/>
    </xf>
    <xf numFmtId="49" fontId="0" fillId="0" borderId="0" xfId="0" applyNumberFormat="1" applyFont="1" applyAlignment="1">
      <alignment/>
    </xf>
    <xf numFmtId="49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49" fontId="19" fillId="0" borderId="22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19" fillId="0" borderId="23" xfId="0" applyNumberFormat="1" applyFont="1" applyBorder="1" applyAlignment="1">
      <alignment horizontal="center" vertical="top" wrapText="1"/>
    </xf>
    <xf numFmtId="49" fontId="20" fillId="7" borderId="24" xfId="0" applyNumberFormat="1" applyFont="1" applyFill="1" applyBorder="1" applyAlignment="1">
      <alignment vertical="top" wrapText="1"/>
    </xf>
    <xf numFmtId="0" fontId="20" fillId="0" borderId="24" xfId="0" applyFont="1" applyFill="1" applyBorder="1" applyAlignment="1">
      <alignment/>
    </xf>
    <xf numFmtId="49" fontId="20" fillId="7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left" wrapText="1" indent="2"/>
    </xf>
    <xf numFmtId="0" fontId="0" fillId="0" borderId="17" xfId="0" applyFont="1" applyFill="1" applyBorder="1" applyAlignment="1">
      <alignment horizontal="left" wrapText="1"/>
    </xf>
    <xf numFmtId="0" fontId="0" fillId="0" borderId="25" xfId="0" applyFill="1" applyBorder="1" applyAlignment="1">
      <alignment vertical="top" wrapText="1"/>
    </xf>
    <xf numFmtId="0" fontId="0" fillId="0" borderId="25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23" fillId="0" borderId="25" xfId="0" applyFont="1" applyFill="1" applyBorder="1" applyAlignment="1">
      <alignment wrapText="1"/>
    </xf>
    <xf numFmtId="49" fontId="0" fillId="0" borderId="0" xfId="0" applyNumberFormat="1" applyFont="1" applyFill="1" applyAlignment="1">
      <alignment horizontal="right"/>
    </xf>
    <xf numFmtId="49" fontId="0" fillId="0" borderId="26" xfId="0" applyNumberFormat="1" applyFont="1" applyBorder="1" applyAlignment="1">
      <alignment vertical="top" wrapText="1"/>
    </xf>
    <xf numFmtId="172" fontId="0" fillId="0" borderId="0" xfId="0" applyNumberFormat="1" applyFont="1" applyFill="1" applyAlignment="1">
      <alignment/>
    </xf>
    <xf numFmtId="0" fontId="20" fillId="0" borderId="27" xfId="0" applyFont="1" applyBorder="1" applyAlignment="1">
      <alignment vertical="top" wrapText="1"/>
    </xf>
    <xf numFmtId="49" fontId="20" fillId="0" borderId="28" xfId="0" applyNumberFormat="1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49" fontId="20" fillId="0" borderId="29" xfId="0" applyNumberFormat="1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9" xfId="0" applyFont="1" applyBorder="1" applyAlignment="1">
      <alignment horizontal="justify" vertical="top" wrapText="1"/>
    </xf>
    <xf numFmtId="0" fontId="0" fillId="0" borderId="29" xfId="0" applyFont="1" applyFill="1" applyBorder="1" applyAlignment="1">
      <alignment horizontal="justify" vertical="top" wrapText="1"/>
    </xf>
    <xf numFmtId="0" fontId="0" fillId="0" borderId="26" xfId="0" applyFont="1" applyBorder="1" applyAlignment="1">
      <alignment vertical="top" wrapText="1"/>
    </xf>
    <xf numFmtId="0" fontId="0" fillId="0" borderId="30" xfId="0" applyFont="1" applyFill="1" applyBorder="1" applyAlignment="1">
      <alignment horizontal="left" wrapText="1" indent="2"/>
    </xf>
    <xf numFmtId="0" fontId="0" fillId="0" borderId="29" xfId="0" applyNumberFormat="1" applyFont="1" applyBorder="1" applyAlignment="1">
      <alignment vertical="top" wrapText="1"/>
    </xf>
    <xf numFmtId="4" fontId="20" fillId="0" borderId="31" xfId="0" applyNumberFormat="1" applyFont="1" applyBorder="1" applyAlignment="1">
      <alignment horizontal="right" vertical="top"/>
    </xf>
    <xf numFmtId="4" fontId="34" fillId="0" borderId="28" xfId="0" applyNumberFormat="1" applyFont="1" applyBorder="1" applyAlignment="1">
      <alignment horizontal="right" vertical="top"/>
    </xf>
    <xf numFmtId="4" fontId="20" fillId="0" borderId="29" xfId="0" applyNumberFormat="1" applyFont="1" applyBorder="1" applyAlignment="1">
      <alignment horizontal="right" vertical="top"/>
    </xf>
    <xf numFmtId="4" fontId="0" fillId="0" borderId="29" xfId="0" applyNumberFormat="1" applyFont="1" applyBorder="1" applyAlignment="1">
      <alignment horizontal="right" vertical="top"/>
    </xf>
    <xf numFmtId="4" fontId="21" fillId="0" borderId="29" xfId="0" applyNumberFormat="1" applyFont="1" applyBorder="1" applyAlignment="1">
      <alignment horizontal="right" vertical="top"/>
    </xf>
    <xf numFmtId="4" fontId="34" fillId="0" borderId="29" xfId="0" applyNumberFormat="1" applyFont="1" applyBorder="1" applyAlignment="1">
      <alignment horizontal="right" vertical="top"/>
    </xf>
    <xf numFmtId="4" fontId="0" fillId="0" borderId="29" xfId="0" applyNumberFormat="1" applyFont="1" applyFill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20" fillId="0" borderId="24" xfId="0" applyNumberFormat="1" applyFont="1" applyFill="1" applyBorder="1" applyAlignment="1">
      <alignment/>
    </xf>
    <xf numFmtId="4" fontId="20" fillId="0" borderId="17" xfId="0" applyNumberFormat="1" applyFont="1" applyFill="1" applyBorder="1" applyAlignment="1">
      <alignment/>
    </xf>
    <xf numFmtId="4" fontId="21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0" borderId="17" xfId="0" applyFont="1" applyFill="1" applyBorder="1" applyAlignment="1">
      <alignment vertical="top" wrapText="1"/>
    </xf>
    <xf numFmtId="0" fontId="23" fillId="40" borderId="14" xfId="96" applyNumberFormat="1" applyFont="1" applyFill="1" applyBorder="1" applyAlignment="1">
      <alignment vertical="top" wrapText="1"/>
      <protection/>
    </xf>
    <xf numFmtId="0" fontId="0" fillId="0" borderId="17" xfId="0" applyFont="1" applyBorder="1" applyAlignment="1">
      <alignment horizontal="left" wrapText="1" indent="2"/>
    </xf>
    <xf numFmtId="0" fontId="35" fillId="0" borderId="32" xfId="0" applyFont="1" applyBorder="1" applyAlignment="1">
      <alignment wrapText="1"/>
    </xf>
    <xf numFmtId="0" fontId="0" fillId="40" borderId="14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49" fontId="0" fillId="0" borderId="33" xfId="0" applyNumberFormat="1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40" fillId="0" borderId="34" xfId="0" applyFont="1" applyBorder="1" applyAlignment="1">
      <alignment/>
    </xf>
    <xf numFmtId="0" fontId="35" fillId="0" borderId="0" xfId="0" applyFont="1" applyAlignment="1">
      <alignment wrapText="1"/>
    </xf>
    <xf numFmtId="0" fontId="0" fillId="0" borderId="35" xfId="0" applyFont="1" applyFill="1" applyBorder="1" applyAlignment="1">
      <alignment/>
    </xf>
    <xf numFmtId="49" fontId="0" fillId="0" borderId="17" xfId="0" applyNumberFormat="1" applyFont="1" applyBorder="1" applyAlignment="1">
      <alignment horizontal="left" vertical="top" wrapText="1"/>
    </xf>
    <xf numFmtId="0" fontId="35" fillId="0" borderId="0" xfId="0" applyFont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 wrapText="1"/>
    </xf>
    <xf numFmtId="0" fontId="24" fillId="0" borderId="0" xfId="92" applyFont="1" applyFill="1" applyAlignment="1">
      <alignment horizontal="center" vertical="center" wrapText="1"/>
      <protection/>
    </xf>
    <xf numFmtId="49" fontId="24" fillId="0" borderId="0" xfId="92" applyNumberFormat="1" applyFont="1" applyFill="1" applyAlignment="1">
      <alignment horizontal="center" vertical="center" wrapText="1"/>
      <protection/>
    </xf>
    <xf numFmtId="49" fontId="23" fillId="0" borderId="0" xfId="92" applyNumberFormat="1" applyFont="1" applyFill="1" applyAlignment="1">
      <alignment horizontal="center" vertical="top" wrapText="1"/>
      <protection/>
    </xf>
    <xf numFmtId="4" fontId="23" fillId="0" borderId="0" xfId="92" applyNumberFormat="1" applyFont="1" applyFill="1" applyAlignment="1">
      <alignment horizontal="right" vertical="top"/>
      <protection/>
    </xf>
    <xf numFmtId="0" fontId="23" fillId="0" borderId="0" xfId="92" applyFont="1" applyFill="1" applyAlignment="1">
      <alignment vertical="top" wrapText="1"/>
      <protection/>
    </xf>
    <xf numFmtId="49" fontId="30" fillId="0" borderId="0" xfId="92" applyNumberFormat="1" applyFont="1" applyFill="1" applyAlignment="1">
      <alignment horizontal="center" vertical="top" wrapText="1"/>
      <protection/>
    </xf>
    <xf numFmtId="0" fontId="23" fillId="0" borderId="0" xfId="92" applyFont="1" applyFill="1" applyAlignment="1">
      <alignment horizontal="center" vertical="center" wrapText="1"/>
      <protection/>
    </xf>
    <xf numFmtId="49" fontId="23" fillId="0" borderId="0" xfId="92" applyNumberFormat="1" applyFont="1" applyFill="1" applyAlignment="1">
      <alignment horizontal="center" vertical="center" wrapText="1"/>
      <protection/>
    </xf>
    <xf numFmtId="4" fontId="23" fillId="0" borderId="0" xfId="92" applyNumberFormat="1" applyFont="1" applyFill="1" applyAlignment="1">
      <alignment horizontal="right" vertical="center"/>
      <protection/>
    </xf>
    <xf numFmtId="0" fontId="24" fillId="0" borderId="0" xfId="92" applyFont="1" applyFill="1" applyAlignment="1">
      <alignment horizontal="centerContinuous" vertical="center" wrapText="1"/>
      <protection/>
    </xf>
    <xf numFmtId="49" fontId="24" fillId="0" borderId="0" xfId="92" applyNumberFormat="1" applyFont="1" applyFill="1" applyAlignment="1">
      <alignment horizontal="centerContinuous" vertical="center" wrapText="1"/>
      <protection/>
    </xf>
    <xf numFmtId="4" fontId="24" fillId="0" borderId="0" xfId="92" applyNumberFormat="1" applyFont="1" applyFill="1" applyAlignment="1">
      <alignment horizontal="centerContinuous" vertical="center" wrapText="1"/>
      <protection/>
    </xf>
    <xf numFmtId="0" fontId="23" fillId="0" borderId="0" xfId="92" applyFont="1" applyFill="1" applyAlignment="1">
      <alignment horizontal="right" vertical="center" wrapText="1"/>
      <protection/>
    </xf>
    <xf numFmtId="0" fontId="0" fillId="0" borderId="38" xfId="0" applyNumberFormat="1" applyFont="1" applyBorder="1" applyAlignment="1">
      <alignment vertical="top" wrapText="1"/>
    </xf>
    <xf numFmtId="49" fontId="23" fillId="0" borderId="0" xfId="92" applyNumberFormat="1" applyFont="1" applyFill="1" applyAlignment="1">
      <alignment horizontal="right" vertical="center" wrapText="1"/>
      <protection/>
    </xf>
    <xf numFmtId="4" fontId="23" fillId="0" borderId="0" xfId="92" applyNumberFormat="1" applyFont="1" applyFill="1" applyAlignment="1">
      <alignment horizontal="right" vertical="center" wrapText="1"/>
      <protection/>
    </xf>
    <xf numFmtId="0" fontId="29" fillId="0" borderId="15" xfId="92" applyFont="1" applyFill="1" applyBorder="1" applyAlignment="1">
      <alignment horizontal="center" vertical="center" wrapText="1"/>
      <protection/>
    </xf>
    <xf numFmtId="49" fontId="29" fillId="0" borderId="15" xfId="92" applyNumberFormat="1" applyFont="1" applyFill="1" applyBorder="1" applyAlignment="1">
      <alignment horizontal="center" vertical="center" wrapText="1"/>
      <protection/>
    </xf>
    <xf numFmtId="4" fontId="29" fillId="0" borderId="15" xfId="92" applyNumberFormat="1" applyFont="1" applyFill="1" applyBorder="1" applyAlignment="1">
      <alignment horizontal="center" vertical="center"/>
      <protection/>
    </xf>
    <xf numFmtId="4" fontId="23" fillId="0" borderId="39" xfId="92" applyNumberFormat="1" applyFont="1" applyFill="1" applyBorder="1" applyAlignment="1">
      <alignment vertical="top" wrapText="1"/>
      <protection/>
    </xf>
    <xf numFmtId="4" fontId="23" fillId="0" borderId="0" xfId="92" applyNumberFormat="1" applyFont="1" applyFill="1" applyAlignment="1">
      <alignment vertical="top" wrapText="1"/>
      <protection/>
    </xf>
    <xf numFmtId="0" fontId="24" fillId="0" borderId="15" xfId="92" applyFont="1" applyFill="1" applyBorder="1" applyAlignment="1">
      <alignment horizontal="left" wrapText="1"/>
      <protection/>
    </xf>
    <xf numFmtId="0" fontId="23" fillId="0" borderId="15" xfId="92" applyFont="1" applyFill="1" applyBorder="1" applyAlignment="1">
      <alignment horizontal="center" wrapText="1"/>
      <protection/>
    </xf>
    <xf numFmtId="4" fontId="24" fillId="0" borderId="15" xfId="92" applyNumberFormat="1" applyFont="1" applyFill="1" applyBorder="1" applyAlignment="1">
      <alignment horizontal="right"/>
      <protection/>
    </xf>
    <xf numFmtId="4" fontId="24" fillId="0" borderId="39" xfId="92" applyNumberFormat="1" applyFont="1" applyFill="1" applyBorder="1" applyAlignment="1">
      <alignment horizontal="right"/>
      <protection/>
    </xf>
    <xf numFmtId="0" fontId="23" fillId="0" borderId="0" xfId="92" applyFont="1" applyFill="1" applyAlignment="1">
      <alignment wrapText="1"/>
      <protection/>
    </xf>
    <xf numFmtId="0" fontId="24" fillId="0" borderId="27" xfId="92" applyFont="1" applyFill="1" applyBorder="1" applyAlignment="1">
      <alignment horizontal="left" wrapText="1"/>
      <protection/>
    </xf>
    <xf numFmtId="0" fontId="24" fillId="0" borderId="40" xfId="92" applyFont="1" applyFill="1" applyBorder="1" applyAlignment="1">
      <alignment horizontal="center" wrapText="1"/>
      <protection/>
    </xf>
    <xf numFmtId="0" fontId="23" fillId="0" borderId="40" xfId="92" applyFont="1" applyFill="1" applyBorder="1" applyAlignment="1">
      <alignment horizontal="center" wrapText="1"/>
      <protection/>
    </xf>
    <xf numFmtId="4" fontId="24" fillId="0" borderId="40" xfId="92" applyNumberFormat="1" applyFont="1" applyFill="1" applyBorder="1" applyAlignment="1">
      <alignment horizontal="right"/>
      <protection/>
    </xf>
    <xf numFmtId="0" fontId="23" fillId="0" borderId="39" xfId="92" applyFont="1" applyFill="1" applyBorder="1" applyAlignment="1">
      <alignment vertical="top" wrapText="1"/>
      <protection/>
    </xf>
    <xf numFmtId="0" fontId="24" fillId="0" borderId="16" xfId="92" applyFont="1" applyFill="1" applyBorder="1" applyAlignment="1">
      <alignment wrapText="1"/>
      <protection/>
    </xf>
    <xf numFmtId="0" fontId="24" fillId="0" borderId="16" xfId="92" applyFont="1" applyFill="1" applyBorder="1" applyAlignment="1">
      <alignment horizontal="center" wrapText="1"/>
      <protection/>
    </xf>
    <xf numFmtId="49" fontId="24" fillId="0" borderId="16" xfId="92" applyNumberFormat="1" applyFont="1" applyFill="1" applyBorder="1" applyAlignment="1">
      <alignment horizontal="center" wrapText="1"/>
      <protection/>
    </xf>
    <xf numFmtId="4" fontId="24" fillId="7" borderId="16" xfId="92" applyNumberFormat="1" applyFont="1" applyFill="1" applyBorder="1" applyAlignment="1">
      <alignment horizontal="right"/>
      <protection/>
    </xf>
    <xf numFmtId="0" fontId="25" fillId="0" borderId="14" xfId="92" applyFont="1" applyFill="1" applyBorder="1" applyAlignment="1">
      <alignment wrapText="1"/>
      <protection/>
    </xf>
    <xf numFmtId="0" fontId="25" fillId="0" borderId="14" xfId="92" applyFont="1" applyFill="1" applyBorder="1" applyAlignment="1">
      <alignment horizontal="center" wrapText="1"/>
      <protection/>
    </xf>
    <xf numFmtId="4" fontId="25" fillId="0" borderId="14" xfId="92" applyNumberFormat="1" applyFont="1" applyFill="1" applyBorder="1" applyAlignment="1">
      <alignment horizontal="right"/>
      <protection/>
    </xf>
    <xf numFmtId="0" fontId="23" fillId="0" borderId="14" xfId="92" applyFont="1" applyFill="1" applyBorder="1" applyAlignment="1">
      <alignment horizontal="left" wrapText="1"/>
      <protection/>
    </xf>
    <xf numFmtId="0" fontId="23" fillId="0" borderId="14" xfId="92" applyFont="1" applyFill="1" applyBorder="1" applyAlignment="1">
      <alignment horizontal="center" wrapText="1"/>
      <protection/>
    </xf>
    <xf numFmtId="0" fontId="23" fillId="0" borderId="14" xfId="92" applyFont="1" applyFill="1" applyBorder="1" applyAlignment="1">
      <alignment wrapText="1"/>
      <protection/>
    </xf>
    <xf numFmtId="4" fontId="23" fillId="0" borderId="14" xfId="92" applyNumberFormat="1" applyFont="1" applyFill="1" applyBorder="1" applyAlignment="1">
      <alignment horizontal="right"/>
      <protection/>
    </xf>
    <xf numFmtId="0" fontId="27" fillId="0" borderId="14" xfId="92" applyFont="1" applyFill="1" applyBorder="1" applyAlignment="1">
      <alignment horizontal="center" wrapText="1"/>
      <protection/>
    </xf>
    <xf numFmtId="0" fontId="24" fillId="7" borderId="14" xfId="92" applyFont="1" applyFill="1" applyBorder="1" applyAlignment="1">
      <alignment horizontal="left" wrapText="1"/>
      <protection/>
    </xf>
    <xf numFmtId="0" fontId="23" fillId="0" borderId="14" xfId="92" applyFont="1" applyFill="1" applyBorder="1" applyAlignment="1">
      <alignment horizontal="center"/>
      <protection/>
    </xf>
    <xf numFmtId="0" fontId="25" fillId="7" borderId="14" xfId="92" applyFont="1" applyFill="1" applyBorder="1" applyAlignment="1">
      <alignment wrapText="1"/>
      <protection/>
    </xf>
    <xf numFmtId="0" fontId="24" fillId="0" borderId="14" xfId="92" applyFont="1" applyFill="1" applyBorder="1" applyAlignment="1">
      <alignment horizontal="left" wrapText="1"/>
      <protection/>
    </xf>
    <xf numFmtId="0" fontId="25" fillId="0" borderId="14" xfId="92" applyFont="1" applyFill="1" applyBorder="1" applyAlignment="1">
      <alignment horizontal="left" wrapText="1"/>
      <protection/>
    </xf>
    <xf numFmtId="0" fontId="25" fillId="0" borderId="14" xfId="92" applyFont="1" applyFill="1" applyBorder="1" applyAlignment="1">
      <alignment horizontal="center"/>
      <protection/>
    </xf>
    <xf numFmtId="0" fontId="27" fillId="0" borderId="14" xfId="92" applyFont="1" applyFill="1" applyBorder="1" applyAlignment="1">
      <alignment wrapText="1"/>
      <protection/>
    </xf>
    <xf numFmtId="0" fontId="23" fillId="0" borderId="41" xfId="92" applyFont="1" applyFill="1" applyBorder="1" applyAlignment="1">
      <alignment horizontal="left" wrapText="1"/>
      <protection/>
    </xf>
    <xf numFmtId="0" fontId="23" fillId="0" borderId="41" xfId="92" applyFont="1" applyFill="1" applyBorder="1" applyAlignment="1">
      <alignment horizontal="center" wrapText="1"/>
      <protection/>
    </xf>
    <xf numFmtId="0" fontId="23" fillId="0" borderId="41" xfId="92" applyFont="1" applyFill="1" applyBorder="1" applyAlignment="1">
      <alignment horizontal="center"/>
      <protection/>
    </xf>
    <xf numFmtId="4" fontId="23" fillId="0" borderId="41" xfId="92" applyNumberFormat="1" applyFont="1" applyFill="1" applyBorder="1" applyAlignment="1">
      <alignment horizontal="right"/>
      <protection/>
    </xf>
    <xf numFmtId="0" fontId="23" fillId="7" borderId="14" xfId="92" applyFont="1" applyFill="1" applyBorder="1" applyAlignment="1">
      <alignment horizontal="left" wrapText="1"/>
      <protection/>
    </xf>
    <xf numFmtId="4" fontId="23" fillId="0" borderId="40" xfId="92" applyNumberFormat="1" applyFont="1" applyFill="1" applyBorder="1" applyAlignment="1">
      <alignment horizontal="right"/>
      <protection/>
    </xf>
    <xf numFmtId="0" fontId="28" fillId="0" borderId="14" xfId="92" applyFont="1" applyFill="1" applyBorder="1" applyAlignment="1">
      <alignment horizontal="center" wrapText="1"/>
      <protection/>
    </xf>
    <xf numFmtId="0" fontId="25" fillId="7" borderId="14" xfId="92" applyFont="1" applyFill="1" applyBorder="1" applyAlignment="1">
      <alignment horizontal="left" wrapText="1"/>
      <protection/>
    </xf>
    <xf numFmtId="0" fontId="23" fillId="7" borderId="14" xfId="92" applyFont="1" applyFill="1" applyBorder="1" applyAlignment="1">
      <alignment horizontal="center" wrapText="1"/>
      <protection/>
    </xf>
    <xf numFmtId="0" fontId="25" fillId="7" borderId="14" xfId="92" applyFont="1" applyFill="1" applyBorder="1" applyAlignment="1">
      <alignment horizontal="center"/>
      <protection/>
    </xf>
    <xf numFmtId="0" fontId="23" fillId="7" borderId="14" xfId="92" applyFont="1" applyFill="1" applyBorder="1" applyAlignment="1">
      <alignment horizontal="center"/>
      <protection/>
    </xf>
    <xf numFmtId="0" fontId="23" fillId="7" borderId="42" xfId="92" applyFont="1" applyFill="1" applyBorder="1" applyAlignment="1">
      <alignment horizontal="center" wrapText="1"/>
      <protection/>
    </xf>
    <xf numFmtId="0" fontId="25" fillId="7" borderId="14" xfId="92" applyFont="1" applyFill="1" applyBorder="1" applyAlignment="1">
      <alignment horizontal="center" wrapText="1"/>
      <protection/>
    </xf>
    <xf numFmtId="4" fontId="23" fillId="0" borderId="42" xfId="92" applyNumberFormat="1" applyFont="1" applyFill="1" applyBorder="1" applyAlignment="1">
      <alignment horizontal="right"/>
      <protection/>
    </xf>
    <xf numFmtId="0" fontId="23" fillId="7" borderId="41" xfId="92" applyFont="1" applyFill="1" applyBorder="1" applyAlignment="1">
      <alignment horizontal="center" wrapText="1"/>
      <protection/>
    </xf>
    <xf numFmtId="49" fontId="25" fillId="0" borderId="14" xfId="92" applyNumberFormat="1" applyFont="1" applyFill="1" applyBorder="1" applyAlignment="1">
      <alignment horizontal="center" wrapText="1"/>
      <protection/>
    </xf>
    <xf numFmtId="0" fontId="24" fillId="0" borderId="14" xfId="92" applyFont="1" applyFill="1" applyBorder="1" applyAlignment="1">
      <alignment horizontal="center" wrapText="1"/>
      <protection/>
    </xf>
    <xf numFmtId="49" fontId="23" fillId="0" borderId="14" xfId="92" applyNumberFormat="1" applyFont="1" applyFill="1" applyBorder="1" applyAlignment="1">
      <alignment horizontal="center" wrapText="1"/>
      <protection/>
    </xf>
    <xf numFmtId="4" fontId="24" fillId="0" borderId="16" xfId="92" applyNumberFormat="1" applyFont="1" applyFill="1" applyBorder="1" applyAlignment="1">
      <alignment horizontal="right"/>
      <protection/>
    </xf>
    <xf numFmtId="4" fontId="25" fillId="7" borderId="14" xfId="92" applyNumberFormat="1" applyFont="1" applyFill="1" applyBorder="1" applyAlignment="1">
      <alignment horizontal="right"/>
      <protection/>
    </xf>
    <xf numFmtId="4" fontId="23" fillId="7" borderId="14" xfId="92" applyNumberFormat="1" applyFont="1" applyFill="1" applyBorder="1" applyAlignment="1">
      <alignment horizontal="right"/>
      <protection/>
    </xf>
    <xf numFmtId="49" fontId="23" fillId="7" borderId="14" xfId="92" applyNumberFormat="1" applyFont="1" applyFill="1" applyBorder="1" applyAlignment="1">
      <alignment horizontal="center" wrapText="1"/>
      <protection/>
    </xf>
    <xf numFmtId="0" fontId="23" fillId="7" borderId="14" xfId="92" applyFont="1" applyFill="1" applyBorder="1" applyAlignment="1">
      <alignment wrapText="1"/>
      <protection/>
    </xf>
    <xf numFmtId="49" fontId="23" fillId="0" borderId="41" xfId="92" applyNumberFormat="1" applyFont="1" applyFill="1" applyBorder="1" applyAlignment="1">
      <alignment horizontal="center" wrapText="1"/>
      <protection/>
    </xf>
    <xf numFmtId="0" fontId="23" fillId="0" borderId="41" xfId="92" applyFont="1" applyFill="1" applyBorder="1" applyAlignment="1">
      <alignment wrapText="1"/>
      <protection/>
    </xf>
    <xf numFmtId="0" fontId="24" fillId="7" borderId="16" xfId="92" applyFont="1" applyFill="1" applyBorder="1" applyAlignment="1">
      <alignment horizontal="left" wrapText="1"/>
      <protection/>
    </xf>
    <xf numFmtId="49" fontId="24" fillId="7" borderId="16" xfId="92" applyNumberFormat="1" applyFont="1" applyFill="1" applyBorder="1" applyAlignment="1">
      <alignment horizontal="center" wrapText="1"/>
      <protection/>
    </xf>
    <xf numFmtId="0" fontId="23" fillId="7" borderId="16" xfId="92" applyFont="1" applyFill="1" applyBorder="1" applyAlignment="1">
      <alignment horizontal="center"/>
      <protection/>
    </xf>
    <xf numFmtId="0" fontId="23" fillId="7" borderId="16" xfId="92" applyFont="1" applyFill="1" applyBorder="1" applyAlignment="1">
      <alignment wrapText="1"/>
      <protection/>
    </xf>
    <xf numFmtId="0" fontId="31" fillId="0" borderId="0" xfId="92" applyFont="1" applyFill="1" applyAlignment="1">
      <alignment vertical="top" wrapText="1"/>
      <protection/>
    </xf>
    <xf numFmtId="4" fontId="26" fillId="0" borderId="16" xfId="92" applyNumberFormat="1" applyFont="1" applyFill="1" applyBorder="1" applyAlignment="1">
      <alignment horizontal="right"/>
      <protection/>
    </xf>
    <xf numFmtId="0" fontId="24" fillId="0" borderId="16" xfId="92" applyFont="1" applyFill="1" applyBorder="1" applyAlignment="1">
      <alignment horizontal="left" wrapText="1"/>
      <protection/>
    </xf>
    <xf numFmtId="0" fontId="23" fillId="7" borderId="16" xfId="92" applyFont="1" applyFill="1" applyBorder="1" applyAlignment="1">
      <alignment horizontal="center" wrapText="1"/>
      <protection/>
    </xf>
    <xf numFmtId="0" fontId="23" fillId="0" borderId="16" xfId="92" applyFont="1" applyFill="1" applyBorder="1" applyAlignment="1">
      <alignment wrapText="1"/>
      <protection/>
    </xf>
    <xf numFmtId="0" fontId="24" fillId="0" borderId="43" xfId="92" applyFont="1" applyFill="1" applyBorder="1" applyAlignment="1">
      <alignment horizontal="left" wrapText="1"/>
      <protection/>
    </xf>
    <xf numFmtId="49" fontId="24" fillId="0" borderId="43" xfId="92" applyNumberFormat="1" applyFont="1" applyFill="1" applyBorder="1" applyAlignment="1">
      <alignment horizontal="center" wrapText="1"/>
      <protection/>
    </xf>
    <xf numFmtId="0" fontId="23" fillId="7" borderId="43" xfId="92" applyFont="1" applyFill="1" applyBorder="1" applyAlignment="1">
      <alignment horizontal="center" wrapText="1"/>
      <protection/>
    </xf>
    <xf numFmtId="0" fontId="23" fillId="7" borderId="43" xfId="92" applyFont="1" applyFill="1" applyBorder="1" applyAlignment="1">
      <alignment horizontal="center"/>
      <protection/>
    </xf>
    <xf numFmtId="0" fontId="23" fillId="0" borderId="43" xfId="92" applyFont="1" applyFill="1" applyBorder="1" applyAlignment="1">
      <alignment wrapText="1"/>
      <protection/>
    </xf>
    <xf numFmtId="4" fontId="24" fillId="0" borderId="43" xfId="92" applyNumberFormat="1" applyFont="1" applyFill="1" applyBorder="1" applyAlignment="1">
      <alignment horizontal="right"/>
      <protection/>
    </xf>
    <xf numFmtId="0" fontId="24" fillId="0" borderId="42" xfId="92" applyFont="1" applyFill="1" applyBorder="1" applyAlignment="1">
      <alignment horizontal="left" wrapText="1"/>
      <protection/>
    </xf>
    <xf numFmtId="0" fontId="23" fillId="0" borderId="42" xfId="92" applyFont="1" applyFill="1" applyBorder="1" applyAlignment="1">
      <alignment horizontal="center" wrapText="1"/>
      <protection/>
    </xf>
    <xf numFmtId="0" fontId="23" fillId="0" borderId="42" xfId="92" applyFont="1" applyFill="1" applyBorder="1" applyAlignment="1">
      <alignment horizontal="center"/>
      <protection/>
    </xf>
    <xf numFmtId="0" fontId="23" fillId="0" borderId="42" xfId="92" applyFont="1" applyFill="1" applyBorder="1" applyAlignment="1">
      <alignment wrapText="1"/>
      <protection/>
    </xf>
    <xf numFmtId="4" fontId="25" fillId="0" borderId="42" xfId="92" applyNumberFormat="1" applyFont="1" applyFill="1" applyBorder="1" applyAlignment="1">
      <alignment horizontal="right"/>
      <protection/>
    </xf>
    <xf numFmtId="0" fontId="23" fillId="0" borderId="44" xfId="92" applyFont="1" applyFill="1" applyBorder="1" applyAlignment="1">
      <alignment horizontal="left" wrapText="1"/>
      <protection/>
    </xf>
    <xf numFmtId="0" fontId="23" fillId="0" borderId="44" xfId="92" applyFont="1" applyFill="1" applyBorder="1" applyAlignment="1">
      <alignment horizontal="center" wrapText="1"/>
      <protection/>
    </xf>
    <xf numFmtId="0" fontId="23" fillId="0" borderId="44" xfId="92" applyFont="1" applyFill="1" applyBorder="1" applyAlignment="1">
      <alignment horizontal="center"/>
      <protection/>
    </xf>
    <xf numFmtId="4" fontId="23" fillId="0" borderId="44" xfId="92" applyNumberFormat="1" applyFont="1" applyFill="1" applyBorder="1" applyAlignment="1">
      <alignment horizontal="right"/>
      <protection/>
    </xf>
    <xf numFmtId="0" fontId="23" fillId="0" borderId="0" xfId="92" applyFont="1" applyFill="1" applyAlignment="1">
      <alignment horizontal="center" vertical="top" wrapText="1"/>
      <protection/>
    </xf>
    <xf numFmtId="0" fontId="29" fillId="0" borderId="27" xfId="92" applyFont="1" applyFill="1" applyBorder="1" applyAlignment="1">
      <alignment horizontal="center" vertical="center" wrapText="1"/>
      <protection/>
    </xf>
    <xf numFmtId="4" fontId="29" fillId="0" borderId="27" xfId="92" applyNumberFormat="1" applyFont="1" applyFill="1" applyBorder="1" applyAlignment="1">
      <alignment horizontal="center" vertical="center" wrapText="1"/>
      <protection/>
    </xf>
    <xf numFmtId="0" fontId="29" fillId="0" borderId="32" xfId="92" applyFont="1" applyFill="1" applyBorder="1" applyAlignment="1">
      <alignment horizontal="center" vertical="center" wrapText="1"/>
      <protection/>
    </xf>
    <xf numFmtId="4" fontId="29" fillId="0" borderId="32" xfId="92" applyNumberFormat="1" applyFont="1" applyFill="1" applyBorder="1" applyAlignment="1">
      <alignment horizontal="center" vertical="center" wrapText="1"/>
      <protection/>
    </xf>
    <xf numFmtId="4" fontId="23" fillId="0" borderId="0" xfId="92" applyNumberFormat="1" applyFont="1" applyFill="1" applyAlignment="1">
      <alignment wrapText="1"/>
      <protection/>
    </xf>
    <xf numFmtId="0" fontId="24" fillId="0" borderId="45" xfId="92" applyFont="1" applyFill="1" applyBorder="1" applyAlignment="1">
      <alignment horizontal="left" wrapText="1"/>
      <protection/>
    </xf>
    <xf numFmtId="0" fontId="23" fillId="0" borderId="45" xfId="92" applyFont="1" applyFill="1" applyBorder="1" applyAlignment="1">
      <alignment horizontal="center" wrapText="1"/>
      <protection/>
    </xf>
    <xf numFmtId="4" fontId="24" fillId="0" borderId="45" xfId="92" applyNumberFormat="1" applyFont="1" applyFill="1" applyBorder="1" applyAlignment="1">
      <alignment horizontal="right"/>
      <protection/>
    </xf>
    <xf numFmtId="49" fontId="23" fillId="0" borderId="16" xfId="92" applyNumberFormat="1" applyFont="1" applyFill="1" applyBorder="1" applyAlignment="1">
      <alignment horizontal="center" wrapText="1"/>
      <protection/>
    </xf>
    <xf numFmtId="0" fontId="24" fillId="0" borderId="42" xfId="92" applyFont="1" applyFill="1" applyBorder="1" applyAlignment="1">
      <alignment wrapText="1"/>
      <protection/>
    </xf>
    <xf numFmtId="0" fontId="24" fillId="0" borderId="42" xfId="92" applyFont="1" applyFill="1" applyBorder="1" applyAlignment="1">
      <alignment horizontal="center" wrapText="1"/>
      <protection/>
    </xf>
    <xf numFmtId="49" fontId="24" fillId="0" borderId="42" xfId="92" applyNumberFormat="1" applyFont="1" applyFill="1" applyBorder="1" applyAlignment="1">
      <alignment horizontal="center" wrapText="1"/>
      <protection/>
    </xf>
    <xf numFmtId="4" fontId="24" fillId="7" borderId="42" xfId="92" applyNumberFormat="1" applyFont="1" applyFill="1" applyBorder="1" applyAlignment="1">
      <alignment horizontal="right"/>
      <protection/>
    </xf>
    <xf numFmtId="49" fontId="23" fillId="7" borderId="16" xfId="92" applyNumberFormat="1" applyFont="1" applyFill="1" applyBorder="1" applyAlignment="1">
      <alignment horizontal="center" wrapText="1"/>
      <protection/>
    </xf>
    <xf numFmtId="49" fontId="24" fillId="0" borderId="14" xfId="92" applyNumberFormat="1" applyFont="1" applyFill="1" applyBorder="1" applyAlignment="1">
      <alignment horizontal="center" wrapText="1"/>
      <protection/>
    </xf>
    <xf numFmtId="4" fontId="24" fillId="0" borderId="14" xfId="92" applyNumberFormat="1" applyFont="1" applyFill="1" applyBorder="1" applyAlignment="1">
      <alignment horizontal="right"/>
      <protection/>
    </xf>
    <xf numFmtId="4" fontId="26" fillId="7" borderId="16" xfId="92" applyNumberFormat="1" applyFont="1" applyFill="1" applyBorder="1" applyAlignment="1">
      <alignment horizontal="right"/>
      <protection/>
    </xf>
    <xf numFmtId="0" fontId="23" fillId="0" borderId="0" xfId="92" applyFont="1" applyFill="1" applyAlignment="1">
      <alignment horizontal="right" vertical="top"/>
      <protection/>
    </xf>
    <xf numFmtId="0" fontId="23" fillId="0" borderId="0" xfId="92" applyFont="1" applyFill="1" applyBorder="1" applyAlignment="1">
      <alignment vertical="top"/>
      <protection/>
    </xf>
    <xf numFmtId="0" fontId="23" fillId="0" borderId="0" xfId="92" applyFont="1" applyFill="1" applyBorder="1" applyAlignment="1">
      <alignment/>
      <protection/>
    </xf>
    <xf numFmtId="0" fontId="23" fillId="0" borderId="0" xfId="92" applyFont="1" applyFill="1" applyAlignment="1">
      <alignment horizontal="right" vertical="center"/>
      <protection/>
    </xf>
    <xf numFmtId="0" fontId="29" fillId="0" borderId="46" xfId="92" applyFont="1" applyFill="1" applyBorder="1" applyAlignment="1">
      <alignment horizontal="center" vertical="center" wrapText="1"/>
      <protection/>
    </xf>
    <xf numFmtId="4" fontId="23" fillId="0" borderId="0" xfId="92" applyNumberFormat="1" applyFont="1" applyFill="1" applyBorder="1" applyAlignment="1">
      <alignment vertical="top"/>
      <protection/>
    </xf>
    <xf numFmtId="0" fontId="26" fillId="0" borderId="16" xfId="92" applyFont="1" applyFill="1" applyBorder="1" applyAlignment="1">
      <alignment horizontal="left" wrapText="1"/>
      <protection/>
    </xf>
    <xf numFmtId="0" fontId="26" fillId="0" borderId="16" xfId="92" applyFont="1" applyFill="1" applyBorder="1" applyAlignment="1">
      <alignment horizontal="center"/>
      <protection/>
    </xf>
    <xf numFmtId="0" fontId="26" fillId="0" borderId="16" xfId="92" applyFont="1" applyFill="1" applyBorder="1" applyAlignment="1">
      <alignment horizontal="center" wrapText="1"/>
      <protection/>
    </xf>
    <xf numFmtId="4" fontId="23" fillId="0" borderId="47" xfId="92" applyNumberFormat="1" applyFont="1" applyFill="1" applyBorder="1" applyAlignment="1">
      <alignment horizontal="right"/>
      <protection/>
    </xf>
    <xf numFmtId="0" fontId="24" fillId="0" borderId="16" xfId="92" applyFont="1" applyFill="1" applyBorder="1" applyAlignment="1">
      <alignment horizontal="center"/>
      <protection/>
    </xf>
    <xf numFmtId="0" fontId="25" fillId="0" borderId="0" xfId="92" applyFont="1" applyFill="1" applyBorder="1" applyAlignment="1">
      <alignment horizontal="center"/>
      <protection/>
    </xf>
    <xf numFmtId="4" fontId="25" fillId="0" borderId="0" xfId="92" applyNumberFormat="1" applyFont="1" applyFill="1" applyBorder="1" applyAlignment="1">
      <alignment horizontal="right"/>
      <protection/>
    </xf>
    <xf numFmtId="0" fontId="23" fillId="0" borderId="0" xfId="92" applyFont="1" applyFill="1" applyBorder="1" applyAlignment="1">
      <alignment horizontal="center"/>
      <protection/>
    </xf>
    <xf numFmtId="0" fontId="24" fillId="0" borderId="14" xfId="92" applyFont="1" applyFill="1" applyBorder="1" applyAlignment="1">
      <alignment horizontal="center"/>
      <protection/>
    </xf>
    <xf numFmtId="0" fontId="23" fillId="0" borderId="0" xfId="92" applyFont="1" applyFill="1" applyBorder="1" applyAlignment="1">
      <alignment vertical="top" wrapText="1"/>
      <protection/>
    </xf>
    <xf numFmtId="4" fontId="23" fillId="0" borderId="0" xfId="92" applyNumberFormat="1" applyFont="1" applyFill="1" applyBorder="1" applyAlignment="1">
      <alignment horizontal="right"/>
      <protection/>
    </xf>
    <xf numFmtId="0" fontId="23" fillId="7" borderId="0" xfId="92" applyFont="1" applyFill="1" applyBorder="1" applyAlignment="1">
      <alignment horizontal="center"/>
      <protection/>
    </xf>
    <xf numFmtId="0" fontId="24" fillId="0" borderId="48" xfId="92" applyFont="1" applyFill="1" applyBorder="1" applyAlignment="1">
      <alignment horizontal="left" wrapText="1"/>
      <protection/>
    </xf>
    <xf numFmtId="0" fontId="24" fillId="0" borderId="48" xfId="92" applyFont="1" applyFill="1" applyBorder="1" applyAlignment="1">
      <alignment horizontal="center"/>
      <protection/>
    </xf>
    <xf numFmtId="0" fontId="24" fillId="0" borderId="48" xfId="92" applyFont="1" applyFill="1" applyBorder="1" applyAlignment="1">
      <alignment horizontal="center" wrapText="1"/>
      <protection/>
    </xf>
    <xf numFmtId="4" fontId="24" fillId="0" borderId="48" xfId="92" applyNumberFormat="1" applyFont="1" applyFill="1" applyBorder="1" applyAlignment="1">
      <alignment horizontal="right"/>
      <protection/>
    </xf>
    <xf numFmtId="0" fontId="25" fillId="0" borderId="25" xfId="92" applyFont="1" applyFill="1" applyBorder="1" applyAlignment="1">
      <alignment wrapText="1"/>
      <protection/>
    </xf>
    <xf numFmtId="0" fontId="23" fillId="0" borderId="25" xfId="92" applyFont="1" applyFill="1" applyBorder="1" applyAlignment="1">
      <alignment horizontal="center"/>
      <protection/>
    </xf>
    <xf numFmtId="0" fontId="27" fillId="0" borderId="25" xfId="92" applyFont="1" applyFill="1" applyBorder="1" applyAlignment="1">
      <alignment horizontal="center" wrapText="1"/>
      <protection/>
    </xf>
    <xf numFmtId="4" fontId="25" fillId="0" borderId="25" xfId="92" applyNumberFormat="1" applyFont="1" applyFill="1" applyBorder="1" applyAlignment="1">
      <alignment horizontal="right"/>
      <protection/>
    </xf>
    <xf numFmtId="0" fontId="23" fillId="0" borderId="25" xfId="92" applyFont="1" applyFill="1" applyBorder="1" applyAlignment="1">
      <alignment wrapText="1"/>
      <protection/>
    </xf>
    <xf numFmtId="0" fontId="23" fillId="0" borderId="25" xfId="92" applyFont="1" applyFill="1" applyBorder="1" applyAlignment="1">
      <alignment horizontal="left" wrapText="1"/>
      <protection/>
    </xf>
    <xf numFmtId="0" fontId="23" fillId="0" borderId="25" xfId="92" applyFont="1" applyFill="1" applyBorder="1" applyAlignment="1">
      <alignment horizontal="center" wrapText="1"/>
      <protection/>
    </xf>
    <xf numFmtId="4" fontId="23" fillId="0" borderId="25" xfId="92" applyNumberFormat="1" applyFont="1" applyFill="1" applyBorder="1" applyAlignment="1">
      <alignment horizontal="right"/>
      <protection/>
    </xf>
    <xf numFmtId="0" fontId="23" fillId="0" borderId="49" xfId="92" applyFont="1" applyFill="1" applyBorder="1" applyAlignment="1">
      <alignment horizontal="left" wrapText="1"/>
      <protection/>
    </xf>
    <xf numFmtId="0" fontId="23" fillId="0" borderId="49" xfId="92" applyFont="1" applyFill="1" applyBorder="1" applyAlignment="1">
      <alignment horizontal="center"/>
      <protection/>
    </xf>
    <xf numFmtId="0" fontId="23" fillId="0" borderId="49" xfId="92" applyFont="1" applyFill="1" applyBorder="1" applyAlignment="1">
      <alignment horizontal="center" wrapText="1"/>
      <protection/>
    </xf>
    <xf numFmtId="4" fontId="23" fillId="0" borderId="49" xfId="92" applyNumberFormat="1" applyFont="1" applyFill="1" applyBorder="1" applyAlignment="1">
      <alignment horizontal="right"/>
      <protection/>
    </xf>
    <xf numFmtId="0" fontId="25" fillId="0" borderId="25" xfId="92" applyFont="1" applyFill="1" applyBorder="1" applyAlignment="1">
      <alignment horizontal="left" wrapText="1"/>
      <protection/>
    </xf>
    <xf numFmtId="0" fontId="25" fillId="0" borderId="25" xfId="92" applyFont="1" applyFill="1" applyBorder="1" applyAlignment="1">
      <alignment horizontal="center"/>
      <protection/>
    </xf>
    <xf numFmtId="0" fontId="24" fillId="0" borderId="25" xfId="92" applyFont="1" applyFill="1" applyBorder="1" applyAlignment="1">
      <alignment horizontal="center" wrapText="1"/>
      <protection/>
    </xf>
    <xf numFmtId="49" fontId="23" fillId="0" borderId="0" xfId="92" applyNumberFormat="1" applyFont="1" applyFill="1" applyBorder="1" applyAlignment="1">
      <alignment horizontal="center"/>
      <protection/>
    </xf>
    <xf numFmtId="49" fontId="25" fillId="0" borderId="0" xfId="92" applyNumberFormat="1" applyFont="1" applyFill="1" applyBorder="1" applyAlignment="1">
      <alignment horizontal="center"/>
      <protection/>
    </xf>
    <xf numFmtId="0" fontId="24" fillId="0" borderId="50" xfId="92" applyFont="1" applyFill="1" applyBorder="1" applyAlignment="1">
      <alignment horizontal="left" wrapText="1"/>
      <protection/>
    </xf>
    <xf numFmtId="0" fontId="24" fillId="0" borderId="50" xfId="92" applyFont="1" applyFill="1" applyBorder="1" applyAlignment="1">
      <alignment horizontal="center"/>
      <protection/>
    </xf>
    <xf numFmtId="0" fontId="24" fillId="0" borderId="50" xfId="92" applyFont="1" applyFill="1" applyBorder="1" applyAlignment="1">
      <alignment horizontal="center" wrapText="1"/>
      <protection/>
    </xf>
    <xf numFmtId="4" fontId="24" fillId="0" borderId="50" xfId="92" applyNumberFormat="1" applyFont="1" applyFill="1" applyBorder="1" applyAlignment="1">
      <alignment horizontal="right"/>
      <protection/>
    </xf>
    <xf numFmtId="0" fontId="25" fillId="7" borderId="0" xfId="92" applyFont="1" applyFill="1" applyBorder="1" applyAlignment="1">
      <alignment horizontal="center"/>
      <protection/>
    </xf>
    <xf numFmtId="4" fontId="25" fillId="7" borderId="0" xfId="92" applyNumberFormat="1" applyFont="1" applyFill="1" applyBorder="1" applyAlignment="1">
      <alignment horizontal="right"/>
      <protection/>
    </xf>
    <xf numFmtId="0" fontId="24" fillId="0" borderId="42" xfId="92" applyFont="1" applyFill="1" applyBorder="1" applyAlignment="1">
      <alignment horizontal="center"/>
      <protection/>
    </xf>
    <xf numFmtId="0" fontId="32" fillId="0" borderId="42" xfId="92" applyFont="1" applyFill="1" applyBorder="1" applyAlignment="1">
      <alignment horizontal="center" wrapText="1"/>
      <protection/>
    </xf>
    <xf numFmtId="4" fontId="24" fillId="0" borderId="42" xfId="92" applyNumberFormat="1" applyFont="1" applyFill="1" applyBorder="1" applyAlignment="1">
      <alignment horizontal="right"/>
      <protection/>
    </xf>
    <xf numFmtId="4" fontId="23" fillId="7" borderId="0" xfId="92" applyNumberFormat="1" applyFont="1" applyFill="1" applyBorder="1" applyAlignment="1">
      <alignment horizontal="right"/>
      <protection/>
    </xf>
    <xf numFmtId="0" fontId="23" fillId="0" borderId="47" xfId="92" applyFont="1" applyFill="1" applyBorder="1" applyAlignment="1">
      <alignment horizontal="center" wrapText="1"/>
      <protection/>
    </xf>
    <xf numFmtId="0" fontId="23" fillId="0" borderId="47" xfId="92" applyFont="1" applyFill="1" applyBorder="1" applyAlignment="1">
      <alignment horizontal="left" wrapText="1"/>
      <protection/>
    </xf>
    <xf numFmtId="0" fontId="23" fillId="0" borderId="47" xfId="92" applyFont="1" applyFill="1" applyBorder="1" applyAlignment="1">
      <alignment horizontal="center"/>
      <protection/>
    </xf>
    <xf numFmtId="0" fontId="32" fillId="0" borderId="16" xfId="92" applyFont="1" applyFill="1" applyBorder="1" applyAlignment="1">
      <alignment horizontal="center" wrapText="1"/>
      <protection/>
    </xf>
    <xf numFmtId="0" fontId="25" fillId="0" borderId="0" xfId="92" applyFont="1" applyFill="1" applyBorder="1" applyAlignment="1">
      <alignment horizontal="center" wrapText="1"/>
      <protection/>
    </xf>
    <xf numFmtId="0" fontId="32" fillId="0" borderId="50" xfId="92" applyFont="1" applyFill="1" applyBorder="1" applyAlignment="1">
      <alignment horizontal="center" wrapText="1"/>
      <protection/>
    </xf>
    <xf numFmtId="0" fontId="23" fillId="0" borderId="51" xfId="92" applyFont="1" applyFill="1" applyBorder="1" applyAlignment="1">
      <alignment horizontal="left" wrapText="1"/>
      <protection/>
    </xf>
    <xf numFmtId="0" fontId="23" fillId="0" borderId="51" xfId="92" applyFont="1" applyFill="1" applyBorder="1" applyAlignment="1">
      <alignment horizontal="center" wrapText="1"/>
      <protection/>
    </xf>
    <xf numFmtId="4" fontId="23" fillId="0" borderId="51" xfId="92" applyNumberFormat="1" applyFont="1" applyFill="1" applyBorder="1" applyAlignment="1">
      <alignment horizontal="right"/>
      <protection/>
    </xf>
    <xf numFmtId="0" fontId="27" fillId="0" borderId="52" xfId="92" applyFont="1" applyFill="1" applyBorder="1" applyAlignment="1">
      <alignment horizontal="center" wrapText="1"/>
      <protection/>
    </xf>
    <xf numFmtId="4" fontId="25" fillId="0" borderId="52" xfId="92" applyNumberFormat="1" applyFont="1" applyFill="1" applyBorder="1" applyAlignment="1">
      <alignment horizontal="right"/>
      <protection/>
    </xf>
    <xf numFmtId="0" fontId="20" fillId="0" borderId="17" xfId="0" applyFont="1" applyFill="1" applyBorder="1" applyAlignment="1">
      <alignment vertical="top" wrapText="1"/>
    </xf>
    <xf numFmtId="0" fontId="0" fillId="0" borderId="0" xfId="69" applyFont="1" applyAlignment="1" applyProtection="1">
      <alignment wrapText="1"/>
      <protection/>
    </xf>
    <xf numFmtId="49" fontId="20" fillId="7" borderId="35" xfId="0" applyNumberFormat="1" applyFont="1" applyFill="1" applyBorder="1" applyAlignment="1">
      <alignment vertical="top" wrapText="1"/>
    </xf>
    <xf numFmtId="49" fontId="0" fillId="7" borderId="36" xfId="0" applyNumberFormat="1" applyFont="1" applyFill="1" applyBorder="1" applyAlignment="1">
      <alignment vertical="top" wrapText="1"/>
    </xf>
    <xf numFmtId="0" fontId="0" fillId="0" borderId="32" xfId="0" applyFont="1" applyBorder="1" applyAlignment="1">
      <alignment/>
    </xf>
    <xf numFmtId="49" fontId="0" fillId="0" borderId="17" xfId="0" applyNumberFormat="1" applyFont="1" applyBorder="1" applyAlignment="1">
      <alignment vertical="top" wrapText="1"/>
    </xf>
    <xf numFmtId="0" fontId="23" fillId="0" borderId="17" xfId="93" applyFont="1" applyFill="1" applyBorder="1" applyAlignment="1">
      <alignment vertical="top" wrapText="1"/>
      <protection/>
    </xf>
    <xf numFmtId="0" fontId="23" fillId="0" borderId="17" xfId="91" applyFont="1" applyFill="1" applyBorder="1" applyAlignment="1">
      <alignment horizontal="left" wrapText="1"/>
      <protection/>
    </xf>
    <xf numFmtId="49" fontId="0" fillId="0" borderId="30" xfId="0" applyNumberFormat="1" applyFont="1" applyBorder="1" applyAlignment="1">
      <alignment horizontal="center" vertical="top" wrapText="1"/>
    </xf>
    <xf numFmtId="0" fontId="0" fillId="0" borderId="30" xfId="0" applyFont="1" applyFill="1" applyBorder="1" applyAlignment="1">
      <alignment horizontal="left" wrapText="1"/>
    </xf>
    <xf numFmtId="0" fontId="41" fillId="0" borderId="0" xfId="92" applyFont="1" applyFill="1" applyAlignment="1">
      <alignment vertical="top" wrapText="1"/>
      <protection/>
    </xf>
    <xf numFmtId="0" fontId="23" fillId="0" borderId="42" xfId="92" applyFont="1" applyFill="1" applyBorder="1" applyAlignment="1">
      <alignment horizontal="left" wrapText="1"/>
      <protection/>
    </xf>
    <xf numFmtId="49" fontId="23" fillId="0" borderId="42" xfId="92" applyNumberFormat="1" applyFont="1" applyFill="1" applyBorder="1" applyAlignment="1">
      <alignment horizontal="center" wrapText="1"/>
      <protection/>
    </xf>
    <xf numFmtId="198" fontId="0" fillId="0" borderId="32" xfId="89" applyNumberFormat="1" applyFont="1" applyFill="1" applyBorder="1" applyAlignment="1" applyProtection="1">
      <alignment horizontal="left" wrapText="1"/>
      <protection hidden="1"/>
    </xf>
    <xf numFmtId="0" fontId="31" fillId="0" borderId="46" xfId="0" applyFont="1" applyBorder="1" applyAlignment="1">
      <alignment wrapText="1"/>
    </xf>
    <xf numFmtId="4" fontId="23" fillId="0" borderId="46" xfId="92" applyNumberFormat="1" applyFont="1" applyFill="1" applyBorder="1" applyAlignment="1">
      <alignment horizontal="right"/>
      <protection/>
    </xf>
    <xf numFmtId="0" fontId="0" fillId="0" borderId="53" xfId="0" applyFont="1" applyBorder="1" applyAlignment="1">
      <alignment/>
    </xf>
    <xf numFmtId="0" fontId="35" fillId="0" borderId="36" xfId="0" applyFont="1" applyBorder="1" applyAlignment="1">
      <alignment wrapText="1"/>
    </xf>
    <xf numFmtId="49" fontId="23" fillId="0" borderId="14" xfId="91" applyNumberFormat="1" applyFont="1" applyFill="1" applyBorder="1" applyAlignment="1">
      <alignment horizontal="center" wrapText="1"/>
      <protection/>
    </xf>
    <xf numFmtId="0" fontId="24" fillId="0" borderId="14" xfId="91" applyFont="1" applyFill="1" applyBorder="1" applyAlignment="1">
      <alignment horizontal="left" wrapText="1"/>
      <protection/>
    </xf>
    <xf numFmtId="0" fontId="0" fillId="0" borderId="14" xfId="92" applyFont="1" applyFill="1" applyBorder="1" applyAlignment="1">
      <alignment wrapText="1"/>
      <protection/>
    </xf>
    <xf numFmtId="0" fontId="40" fillId="0" borderId="54" xfId="0" applyFont="1" applyBorder="1" applyAlignment="1">
      <alignment/>
    </xf>
    <xf numFmtId="0" fontId="35" fillId="0" borderId="55" xfId="0" applyFont="1" applyBorder="1" applyAlignment="1">
      <alignment/>
    </xf>
    <xf numFmtId="0" fontId="20" fillId="0" borderId="38" xfId="0" applyFont="1" applyBorder="1" applyAlignment="1">
      <alignment vertical="top" wrapText="1"/>
    </xf>
    <xf numFmtId="49" fontId="20" fillId="0" borderId="38" xfId="0" applyNumberFormat="1" applyFont="1" applyBorder="1" applyAlignment="1">
      <alignment vertical="top" wrapText="1"/>
    </xf>
    <xf numFmtId="0" fontId="35" fillId="0" borderId="53" xfId="0" applyFont="1" applyBorder="1" applyAlignment="1">
      <alignment/>
    </xf>
    <xf numFmtId="0" fontId="23" fillId="0" borderId="52" xfId="92" applyFont="1" applyFill="1" applyBorder="1" applyAlignment="1">
      <alignment horizontal="center" wrapText="1"/>
      <protection/>
    </xf>
    <xf numFmtId="4" fontId="23" fillId="0" borderId="52" xfId="92" applyNumberFormat="1" applyFont="1" applyFill="1" applyBorder="1" applyAlignment="1">
      <alignment horizontal="right"/>
      <protection/>
    </xf>
    <xf numFmtId="0" fontId="23" fillId="41" borderId="0" xfId="92" applyFont="1" applyFill="1" applyAlignment="1">
      <alignment vertical="top" wrapText="1"/>
      <protection/>
    </xf>
    <xf numFmtId="0" fontId="23" fillId="0" borderId="32" xfId="0" applyFont="1" applyFill="1" applyBorder="1" applyAlignment="1">
      <alignment wrapText="1"/>
    </xf>
    <xf numFmtId="4" fontId="23" fillId="7" borderId="14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 horizontal="left" wrapText="1"/>
      <protection/>
    </xf>
    <xf numFmtId="0" fontId="23" fillId="0" borderId="46" xfId="92" applyFont="1" applyFill="1" applyBorder="1" applyAlignment="1">
      <alignment horizontal="center" wrapText="1"/>
      <protection/>
    </xf>
    <xf numFmtId="0" fontId="0" fillId="0" borderId="44" xfId="95" applyFont="1" applyBorder="1" applyAlignment="1">
      <alignment horizontal="center" vertical="top" wrapText="1"/>
      <protection/>
    </xf>
    <xf numFmtId="0" fontId="0" fillId="0" borderId="44" xfId="95" applyFont="1" applyBorder="1" applyAlignment="1">
      <alignment vertical="top" wrapText="1"/>
      <protection/>
    </xf>
    <xf numFmtId="2" fontId="0" fillId="0" borderId="44" xfId="95" applyNumberFormat="1" applyFont="1" applyBorder="1" applyAlignment="1">
      <alignment horizontal="center" vertical="top" wrapText="1"/>
      <protection/>
    </xf>
    <xf numFmtId="49" fontId="0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95" applyFont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justify" vertical="top" wrapText="1"/>
    </xf>
    <xf numFmtId="0" fontId="35" fillId="0" borderId="32" xfId="0" applyFont="1" applyBorder="1" applyAlignment="1">
      <alignment/>
    </xf>
    <xf numFmtId="49" fontId="0" fillId="0" borderId="38" xfId="0" applyNumberFormat="1" applyFont="1" applyBorder="1" applyAlignment="1">
      <alignment vertical="top" wrapText="1"/>
    </xf>
    <xf numFmtId="0" fontId="40" fillId="0" borderId="32" xfId="0" applyFont="1" applyBorder="1" applyAlignment="1">
      <alignment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_032-6-РД от15122017 бюджет 2018" xfId="90"/>
    <cellStyle name="Обычный 3" xfId="91"/>
    <cellStyle name="Обычный 3_уточнение март2019 (приложения)" xfId="92"/>
    <cellStyle name="Обычный 4" xfId="93"/>
    <cellStyle name="Обычный_198-4-РД от15122010 о бюджете 2011 прил (опубл в РайВестн №101 от17122010)_273-4-РД от16112011 о бюджете на 2012г прил (опубл №103 от23122011) 2" xfId="94"/>
    <cellStyle name="Обычный_273-4-РД от16112011 о бюджете на 2012г прил (опубл №103 от23122011)" xfId="95"/>
    <cellStyle name="Обычный_прил5 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Хороший" xfId="111"/>
    <cellStyle name="Хороший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311842/#dst10001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149"/>
  <sheetViews>
    <sheetView showGridLines="0" tabSelected="1" zoomScaleSheetLayoutView="100" zoomScalePageLayoutView="0" workbookViewId="0" topLeftCell="A61">
      <selection activeCell="A65" sqref="A65:C86"/>
    </sheetView>
  </sheetViews>
  <sheetFormatPr defaultColWidth="9.140625" defaultRowHeight="12.75"/>
  <cols>
    <col min="1" max="1" width="21.28125" style="0" customWidth="1"/>
    <col min="2" max="2" width="57.7109375" style="0" customWidth="1"/>
    <col min="3" max="3" width="15.140625" style="0" customWidth="1"/>
    <col min="4" max="4" width="13.7109375" style="1" customWidth="1"/>
    <col min="5" max="5" width="14.421875" style="0" bestFit="1" customWidth="1"/>
  </cols>
  <sheetData>
    <row r="1" spans="1:3" ht="12.75">
      <c r="A1" s="328" t="s">
        <v>607</v>
      </c>
      <c r="B1" s="328"/>
      <c r="C1" s="328"/>
    </row>
    <row r="2" spans="1:3" ht="12.75">
      <c r="A2" s="328" t="s">
        <v>619</v>
      </c>
      <c r="B2" s="328"/>
      <c r="C2" s="328"/>
    </row>
    <row r="3" spans="1:3" ht="12.75">
      <c r="A3" s="329" t="s">
        <v>617</v>
      </c>
      <c r="B3" s="329"/>
      <c r="C3" s="329"/>
    </row>
    <row r="4" spans="1:3" ht="12.75">
      <c r="A4" s="330" t="s">
        <v>539</v>
      </c>
      <c r="B4" s="330"/>
      <c r="C4" s="330"/>
    </row>
    <row r="5" spans="1:3" ht="12.75">
      <c r="A5" s="11"/>
      <c r="B5" s="49"/>
      <c r="C5" s="11" t="s">
        <v>608</v>
      </c>
    </row>
    <row r="6" spans="1:3" ht="33.75">
      <c r="A6" s="50" t="s">
        <v>609</v>
      </c>
      <c r="B6" s="51" t="s">
        <v>247</v>
      </c>
      <c r="C6" s="52" t="s">
        <v>361</v>
      </c>
    </row>
    <row r="7" spans="1:4" ht="12.75">
      <c r="A7" s="53" t="s">
        <v>248</v>
      </c>
      <c r="B7" s="54">
        <v>2</v>
      </c>
      <c r="C7" s="55" t="s">
        <v>249</v>
      </c>
      <c r="D7" s="74"/>
    </row>
    <row r="8" spans="1:5" ht="12.75">
      <c r="A8" s="59"/>
      <c r="B8" s="75" t="s">
        <v>362</v>
      </c>
      <c r="C8" s="87">
        <f>C9+C95</f>
        <v>355235566.39</v>
      </c>
      <c r="E8" s="56"/>
    </row>
    <row r="9" spans="1:5" ht="12.75">
      <c r="A9" s="76" t="s">
        <v>610</v>
      </c>
      <c r="B9" s="77" t="s">
        <v>611</v>
      </c>
      <c r="C9" s="88">
        <f>C10+C25+C37+C45+C49+C60+C67+C72+C76+C16</f>
        <v>99977568</v>
      </c>
      <c r="E9" s="56"/>
    </row>
    <row r="10" spans="1:3" ht="12.75">
      <c r="A10" s="78" t="s">
        <v>612</v>
      </c>
      <c r="B10" s="79" t="s">
        <v>269</v>
      </c>
      <c r="C10" s="89">
        <f>C11</f>
        <v>49115414</v>
      </c>
    </row>
    <row r="11" spans="1:3" ht="12.75">
      <c r="A11" s="78" t="s">
        <v>270</v>
      </c>
      <c r="B11" s="79" t="s">
        <v>271</v>
      </c>
      <c r="C11" s="89">
        <f>SUM(C12:C15)</f>
        <v>49115414</v>
      </c>
    </row>
    <row r="12" spans="1:3" ht="69" customHeight="1">
      <c r="A12" s="80" t="s">
        <v>272</v>
      </c>
      <c r="B12" s="86" t="s">
        <v>565</v>
      </c>
      <c r="C12" s="90">
        <v>48864537</v>
      </c>
    </row>
    <row r="13" spans="1:3" ht="93" customHeight="1">
      <c r="A13" s="80" t="s">
        <v>273</v>
      </c>
      <c r="B13" s="86" t="s">
        <v>574</v>
      </c>
      <c r="C13" s="90">
        <v>39895</v>
      </c>
    </row>
    <row r="14" spans="1:3" ht="38.25">
      <c r="A14" s="80" t="s">
        <v>274</v>
      </c>
      <c r="B14" s="81" t="s">
        <v>275</v>
      </c>
      <c r="C14" s="90">
        <v>210958.6</v>
      </c>
    </row>
    <row r="15" spans="1:3" ht="51">
      <c r="A15" s="80"/>
      <c r="B15" s="109" t="s">
        <v>217</v>
      </c>
      <c r="C15" s="90">
        <v>23.4</v>
      </c>
    </row>
    <row r="16" spans="1:3" ht="25.5">
      <c r="A16" s="78" t="s">
        <v>276</v>
      </c>
      <c r="B16" s="79" t="s">
        <v>277</v>
      </c>
      <c r="C16" s="89">
        <f>C18+C20+C22+C24</f>
        <v>2744792</v>
      </c>
    </row>
    <row r="17" spans="1:3" ht="63.75">
      <c r="A17" s="80" t="s">
        <v>278</v>
      </c>
      <c r="B17" s="81" t="s">
        <v>279</v>
      </c>
      <c r="C17" s="90">
        <v>1257202</v>
      </c>
    </row>
    <row r="18" spans="1:3" ht="89.25">
      <c r="A18" s="80" t="s">
        <v>737</v>
      </c>
      <c r="B18" s="86" t="s">
        <v>738</v>
      </c>
      <c r="C18" s="90">
        <v>1257202</v>
      </c>
    </row>
    <row r="19" spans="1:3" ht="77.25" customHeight="1">
      <c r="A19" s="80" t="s">
        <v>280</v>
      </c>
      <c r="B19" s="86" t="s">
        <v>575</v>
      </c>
      <c r="C19" s="90">
        <v>8543</v>
      </c>
    </row>
    <row r="20" spans="1:3" ht="105" customHeight="1">
      <c r="A20" s="80" t="s">
        <v>739</v>
      </c>
      <c r="B20" s="86" t="s">
        <v>740</v>
      </c>
      <c r="C20" s="90">
        <v>8543</v>
      </c>
    </row>
    <row r="21" spans="1:3" ht="63.75">
      <c r="A21" s="80" t="s">
        <v>455</v>
      </c>
      <c r="B21" s="81" t="s">
        <v>458</v>
      </c>
      <c r="C21" s="90">
        <v>1657861</v>
      </c>
    </row>
    <row r="22" spans="1:3" ht="102">
      <c r="A22" s="80" t="s">
        <v>741</v>
      </c>
      <c r="B22" s="81" t="s">
        <v>742</v>
      </c>
      <c r="C22" s="90">
        <v>1657861</v>
      </c>
    </row>
    <row r="23" spans="1:3" ht="63.75">
      <c r="A23" s="80" t="s">
        <v>459</v>
      </c>
      <c r="B23" s="81" t="s">
        <v>460</v>
      </c>
      <c r="C23" s="90">
        <v>-178814</v>
      </c>
    </row>
    <row r="24" spans="1:3" ht="102">
      <c r="A24" s="80" t="s">
        <v>743</v>
      </c>
      <c r="B24" s="81" t="s">
        <v>0</v>
      </c>
      <c r="C24" s="90">
        <v>-178814</v>
      </c>
    </row>
    <row r="25" spans="1:3" ht="12.75">
      <c r="A25" s="78" t="s">
        <v>461</v>
      </c>
      <c r="B25" s="79" t="s">
        <v>462</v>
      </c>
      <c r="C25" s="89">
        <f>C26+C31+C33+C35</f>
        <v>9736772</v>
      </c>
    </row>
    <row r="26" spans="1:3" ht="25.5">
      <c r="A26" s="80" t="s">
        <v>463</v>
      </c>
      <c r="B26" s="81" t="s">
        <v>464</v>
      </c>
      <c r="C26" s="91">
        <f>C27+C29</f>
        <v>245000</v>
      </c>
    </row>
    <row r="27" spans="1:3" ht="25.5">
      <c r="A27" s="80" t="s">
        <v>465</v>
      </c>
      <c r="B27" s="81" t="s">
        <v>466</v>
      </c>
      <c r="C27" s="91">
        <f>C28</f>
        <v>120954</v>
      </c>
    </row>
    <row r="28" spans="1:3" ht="25.5">
      <c r="A28" s="80" t="s">
        <v>467</v>
      </c>
      <c r="B28" s="81" t="s">
        <v>466</v>
      </c>
      <c r="C28" s="90">
        <v>120954</v>
      </c>
    </row>
    <row r="29" spans="1:3" ht="38.25">
      <c r="A29" s="80" t="s">
        <v>468</v>
      </c>
      <c r="B29" s="81" t="s">
        <v>469</v>
      </c>
      <c r="C29" s="91">
        <f>C30</f>
        <v>124046</v>
      </c>
    </row>
    <row r="30" spans="1:3" ht="51">
      <c r="A30" s="80" t="s">
        <v>470</v>
      </c>
      <c r="B30" s="81" t="s">
        <v>471</v>
      </c>
      <c r="C30" s="90">
        <v>124046</v>
      </c>
    </row>
    <row r="31" spans="1:3" ht="25.5">
      <c r="A31" s="80" t="s">
        <v>472</v>
      </c>
      <c r="B31" s="81" t="s">
        <v>26</v>
      </c>
      <c r="C31" s="91">
        <f>C32</f>
        <v>8448286</v>
      </c>
    </row>
    <row r="32" spans="1:3" ht="25.5">
      <c r="A32" s="80" t="s">
        <v>27</v>
      </c>
      <c r="B32" s="81" t="s">
        <v>26</v>
      </c>
      <c r="C32" s="90">
        <v>8448286</v>
      </c>
    </row>
    <row r="33" spans="1:3" ht="12.75">
      <c r="A33" s="80" t="s">
        <v>28</v>
      </c>
      <c r="B33" s="81" t="s">
        <v>29</v>
      </c>
      <c r="C33" s="91">
        <f>SUM(C34:C34)</f>
        <v>1025868</v>
      </c>
    </row>
    <row r="34" spans="1:3" ht="12.75">
      <c r="A34" s="80" t="s">
        <v>30</v>
      </c>
      <c r="B34" s="81" t="s">
        <v>31</v>
      </c>
      <c r="C34" s="90">
        <v>1025868</v>
      </c>
    </row>
    <row r="35" spans="1:3" ht="31.5" customHeight="1">
      <c r="A35" s="80" t="s">
        <v>368</v>
      </c>
      <c r="B35" s="81" t="s">
        <v>369</v>
      </c>
      <c r="C35" s="90">
        <v>17618</v>
      </c>
    </row>
    <row r="36" spans="1:3" ht="30" customHeight="1">
      <c r="A36" s="80" t="s">
        <v>370</v>
      </c>
      <c r="B36" s="81" t="s">
        <v>371</v>
      </c>
      <c r="C36" s="90">
        <v>17618</v>
      </c>
    </row>
    <row r="37" spans="1:3" ht="12.75">
      <c r="A37" s="78" t="s">
        <v>32</v>
      </c>
      <c r="B37" s="79" t="s">
        <v>33</v>
      </c>
      <c r="C37" s="89">
        <f>C38+C40</f>
        <v>14899549</v>
      </c>
    </row>
    <row r="38" spans="1:3" ht="12.75">
      <c r="A38" s="80" t="s">
        <v>34</v>
      </c>
      <c r="B38" s="81" t="s">
        <v>35</v>
      </c>
      <c r="C38" s="91">
        <f>C39</f>
        <v>3411000</v>
      </c>
    </row>
    <row r="39" spans="1:3" ht="38.25">
      <c r="A39" s="80" t="s">
        <v>36</v>
      </c>
      <c r="B39" s="81" t="s">
        <v>716</v>
      </c>
      <c r="C39" s="90">
        <v>3411000</v>
      </c>
    </row>
    <row r="40" spans="1:3" ht="12.75">
      <c r="A40" s="80" t="s">
        <v>717</v>
      </c>
      <c r="B40" s="81" t="s">
        <v>718</v>
      </c>
      <c r="C40" s="92">
        <f>C41+C43</f>
        <v>11488549</v>
      </c>
    </row>
    <row r="41" spans="1:3" ht="12.75">
      <c r="A41" s="80" t="s">
        <v>719</v>
      </c>
      <c r="B41" s="81" t="s">
        <v>720</v>
      </c>
      <c r="C41" s="91">
        <f>C42</f>
        <v>7951220</v>
      </c>
    </row>
    <row r="42" spans="1:3" ht="25.5">
      <c r="A42" s="80" t="s">
        <v>721</v>
      </c>
      <c r="B42" s="81" t="s">
        <v>722</v>
      </c>
      <c r="C42" s="90">
        <v>7951220</v>
      </c>
    </row>
    <row r="43" spans="1:3" ht="12.75">
      <c r="A43" s="80" t="s">
        <v>724</v>
      </c>
      <c r="B43" s="81" t="s">
        <v>725</v>
      </c>
      <c r="C43" s="91">
        <f>C44</f>
        <v>3537329</v>
      </c>
    </row>
    <row r="44" spans="1:3" ht="25.5">
      <c r="A44" s="80" t="s">
        <v>726</v>
      </c>
      <c r="B44" s="81" t="s">
        <v>727</v>
      </c>
      <c r="C44" s="90">
        <v>3537329</v>
      </c>
    </row>
    <row r="45" spans="1:3" ht="12.75">
      <c r="A45" s="78" t="s">
        <v>728</v>
      </c>
      <c r="B45" s="79" t="s">
        <v>729</v>
      </c>
      <c r="C45" s="89">
        <f>C46+C48</f>
        <v>3524094</v>
      </c>
    </row>
    <row r="46" spans="1:3" ht="25.5">
      <c r="A46" s="80" t="s">
        <v>730</v>
      </c>
      <c r="B46" s="81" t="s">
        <v>731</v>
      </c>
      <c r="C46" s="91">
        <f>C47</f>
        <v>3519094</v>
      </c>
    </row>
    <row r="47" spans="1:3" ht="39" customHeight="1">
      <c r="A47" s="80" t="s">
        <v>442</v>
      </c>
      <c r="B47" s="81" t="s">
        <v>443</v>
      </c>
      <c r="C47" s="90">
        <v>3519094</v>
      </c>
    </row>
    <row r="48" spans="1:3" ht="27" customHeight="1">
      <c r="A48" s="313" t="s">
        <v>218</v>
      </c>
      <c r="B48" s="109" t="s">
        <v>219</v>
      </c>
      <c r="C48" s="90">
        <v>5000</v>
      </c>
    </row>
    <row r="49" spans="1:3" ht="39.75" customHeight="1">
      <c r="A49" s="78" t="s">
        <v>444</v>
      </c>
      <c r="B49" s="79" t="s">
        <v>445</v>
      </c>
      <c r="C49" s="89">
        <f>C50+C55+C57</f>
        <v>4994695</v>
      </c>
    </row>
    <row r="50" spans="1:3" ht="76.5" customHeight="1">
      <c r="A50" s="80" t="s">
        <v>446</v>
      </c>
      <c r="B50" s="86" t="s">
        <v>576</v>
      </c>
      <c r="C50" s="91">
        <f>C51+C53</f>
        <v>3936983</v>
      </c>
    </row>
    <row r="51" spans="1:3" ht="54.75" customHeight="1">
      <c r="A51" s="80" t="s">
        <v>447</v>
      </c>
      <c r="B51" s="81" t="s">
        <v>243</v>
      </c>
      <c r="C51" s="91">
        <f>C52</f>
        <v>1937484</v>
      </c>
    </row>
    <row r="52" spans="1:3" ht="63.75">
      <c r="A52" s="80" t="s">
        <v>409</v>
      </c>
      <c r="B52" s="81" t="s">
        <v>410</v>
      </c>
      <c r="C52" s="90">
        <v>1937484</v>
      </c>
    </row>
    <row r="53" spans="1:3" ht="38.25">
      <c r="A53" s="80" t="s">
        <v>411</v>
      </c>
      <c r="B53" s="81" t="s">
        <v>412</v>
      </c>
      <c r="C53" s="91">
        <f>C54</f>
        <v>1999499</v>
      </c>
    </row>
    <row r="54" spans="1:3" ht="32.25" customHeight="1">
      <c r="A54" s="80" t="s">
        <v>413</v>
      </c>
      <c r="B54" s="81" t="s">
        <v>452</v>
      </c>
      <c r="C54" s="90">
        <v>1999499</v>
      </c>
    </row>
    <row r="55" spans="1:3" ht="25.5">
      <c r="A55" s="80" t="s">
        <v>453</v>
      </c>
      <c r="B55" s="81" t="s">
        <v>62</v>
      </c>
      <c r="C55" s="91">
        <f>C56</f>
        <v>14270</v>
      </c>
    </row>
    <row r="56" spans="1:3" ht="38.25">
      <c r="A56" s="80" t="s">
        <v>63</v>
      </c>
      <c r="B56" s="81" t="s">
        <v>64</v>
      </c>
      <c r="C56" s="90">
        <f>72000-57730</f>
        <v>14270</v>
      </c>
    </row>
    <row r="57" spans="1:3" ht="68.25" customHeight="1">
      <c r="A57" s="80" t="s">
        <v>69</v>
      </c>
      <c r="B57" s="86" t="s">
        <v>244</v>
      </c>
      <c r="C57" s="91">
        <f>C58</f>
        <v>1043442</v>
      </c>
    </row>
    <row r="58" spans="1:3" ht="65.25" customHeight="1">
      <c r="A58" s="80" t="s">
        <v>70</v>
      </c>
      <c r="B58" s="86" t="s">
        <v>245</v>
      </c>
      <c r="C58" s="91">
        <f>C59</f>
        <v>1043442</v>
      </c>
    </row>
    <row r="59" spans="1:3" ht="63.75">
      <c r="A59" s="80" t="s">
        <v>71</v>
      </c>
      <c r="B59" s="81" t="s">
        <v>72</v>
      </c>
      <c r="C59" s="90">
        <v>1043442</v>
      </c>
    </row>
    <row r="60" spans="1:3" ht="12.75">
      <c r="A60" s="78" t="s">
        <v>73</v>
      </c>
      <c r="B60" s="79" t="s">
        <v>74</v>
      </c>
      <c r="C60" s="89">
        <f>C61</f>
        <v>20034</v>
      </c>
    </row>
    <row r="61" spans="1:3" ht="12.75">
      <c r="A61" s="80" t="s">
        <v>75</v>
      </c>
      <c r="B61" s="82" t="s">
        <v>76</v>
      </c>
      <c r="C61" s="91">
        <f>SUM(C62:C64)</f>
        <v>20034</v>
      </c>
    </row>
    <row r="62" spans="1:3" ht="25.5">
      <c r="A62" s="80" t="s">
        <v>77</v>
      </c>
      <c r="B62" s="83" t="s">
        <v>78</v>
      </c>
      <c r="C62" s="90">
        <v>3400</v>
      </c>
    </row>
    <row r="63" spans="1:3" ht="15" customHeight="1">
      <c r="A63" s="80" t="s">
        <v>79</v>
      </c>
      <c r="B63" s="83" t="s">
        <v>80</v>
      </c>
      <c r="C63" s="90">
        <v>25746</v>
      </c>
    </row>
    <row r="64" spans="1:3" ht="12.75" customHeight="1">
      <c r="A64" s="80" t="s">
        <v>81</v>
      </c>
      <c r="B64" s="333" t="s">
        <v>82</v>
      </c>
      <c r="C64" s="90">
        <f>C65+C66</f>
        <v>-9112</v>
      </c>
    </row>
    <row r="65" spans="1:3" ht="13.5" customHeight="1">
      <c r="A65" s="80" t="s">
        <v>1</v>
      </c>
      <c r="B65" s="334" t="s">
        <v>2</v>
      </c>
      <c r="C65" s="90">
        <v>242</v>
      </c>
    </row>
    <row r="66" spans="1:3" ht="12.75" customHeight="1">
      <c r="A66" s="80" t="s">
        <v>342</v>
      </c>
      <c r="B66" s="334" t="s">
        <v>341</v>
      </c>
      <c r="C66" s="90">
        <v>-9354</v>
      </c>
    </row>
    <row r="67" spans="1:3" ht="25.5">
      <c r="A67" s="78" t="s">
        <v>83</v>
      </c>
      <c r="B67" s="315" t="s">
        <v>84</v>
      </c>
      <c r="C67" s="89">
        <f>C68+C71</f>
        <v>11819800</v>
      </c>
    </row>
    <row r="68" spans="1:3" ht="25.5">
      <c r="A68" s="80" t="s">
        <v>85</v>
      </c>
      <c r="B68" s="82" t="s">
        <v>100</v>
      </c>
      <c r="C68" s="91">
        <f>C69</f>
        <v>11819650</v>
      </c>
    </row>
    <row r="69" spans="1:3" ht="25.5">
      <c r="A69" s="80" t="s">
        <v>101</v>
      </c>
      <c r="B69" s="82" t="s">
        <v>100</v>
      </c>
      <c r="C69" s="90">
        <v>11819650</v>
      </c>
    </row>
    <row r="70" spans="1:3" ht="12.75">
      <c r="A70" s="314" t="s">
        <v>220</v>
      </c>
      <c r="B70" s="112" t="s">
        <v>221</v>
      </c>
      <c r="C70" s="90">
        <v>150</v>
      </c>
    </row>
    <row r="71" spans="1:3" ht="25.5">
      <c r="A71" s="317" t="s">
        <v>222</v>
      </c>
      <c r="B71" s="103" t="s">
        <v>223</v>
      </c>
      <c r="C71" s="90">
        <v>150</v>
      </c>
    </row>
    <row r="72" spans="1:3" ht="25.5">
      <c r="A72" s="316" t="s">
        <v>102</v>
      </c>
      <c r="B72" s="315" t="s">
        <v>103</v>
      </c>
      <c r="C72" s="89">
        <f>C73</f>
        <v>911000</v>
      </c>
    </row>
    <row r="73" spans="1:3" ht="25.5">
      <c r="A73" s="80" t="s">
        <v>104</v>
      </c>
      <c r="B73" s="82" t="s">
        <v>112</v>
      </c>
      <c r="C73" s="91">
        <f>C74</f>
        <v>911000</v>
      </c>
    </row>
    <row r="74" spans="1:3" ht="25.5">
      <c r="A74" s="80" t="s">
        <v>113</v>
      </c>
      <c r="B74" s="82" t="s">
        <v>114</v>
      </c>
      <c r="C74" s="91">
        <f>C75</f>
        <v>911000</v>
      </c>
    </row>
    <row r="75" spans="1:3" ht="38.25">
      <c r="A75" s="80" t="s">
        <v>115</v>
      </c>
      <c r="B75" s="82" t="s">
        <v>392</v>
      </c>
      <c r="C75" s="90">
        <v>911000</v>
      </c>
    </row>
    <row r="76" spans="1:5" ht="12.75">
      <c r="A76" s="78" t="s">
        <v>393</v>
      </c>
      <c r="B76" s="79" t="s">
        <v>399</v>
      </c>
      <c r="C76" s="89">
        <f>C77+C80+C81+C84+C86+C89+C90+C92+C93</f>
        <v>2211418</v>
      </c>
      <c r="E76" s="56"/>
    </row>
    <row r="77" spans="1:3" ht="25.5">
      <c r="A77" s="80" t="s">
        <v>400</v>
      </c>
      <c r="B77" s="81" t="s">
        <v>401</v>
      </c>
      <c r="C77" s="91">
        <f>SUM(C78:C79)</f>
        <v>104700</v>
      </c>
    </row>
    <row r="78" spans="1:3" ht="63.75">
      <c r="A78" s="80" t="s">
        <v>402</v>
      </c>
      <c r="B78" s="81" t="s">
        <v>403</v>
      </c>
      <c r="C78" s="90">
        <v>70700</v>
      </c>
    </row>
    <row r="79" spans="1:3" ht="51">
      <c r="A79" s="80" t="s">
        <v>404</v>
      </c>
      <c r="B79" s="81" t="s">
        <v>482</v>
      </c>
      <c r="C79" s="90">
        <v>34000</v>
      </c>
    </row>
    <row r="80" spans="1:6" ht="51">
      <c r="A80" s="80" t="s">
        <v>483</v>
      </c>
      <c r="B80" s="81" t="s">
        <v>484</v>
      </c>
      <c r="C80" s="90">
        <v>182000</v>
      </c>
      <c r="F80" s="296"/>
    </row>
    <row r="81" spans="1:3" ht="51">
      <c r="A81" s="80" t="s">
        <v>485</v>
      </c>
      <c r="B81" s="81" t="s">
        <v>486</v>
      </c>
      <c r="C81" s="91">
        <f>SUM(C82:C83)</f>
        <v>84000</v>
      </c>
    </row>
    <row r="82" spans="1:3" ht="52.5" customHeight="1">
      <c r="A82" s="80" t="s">
        <v>487</v>
      </c>
      <c r="B82" s="81" t="s">
        <v>488</v>
      </c>
      <c r="C82" s="90">
        <v>51000</v>
      </c>
    </row>
    <row r="83" spans="1:3" ht="44.25" customHeight="1">
      <c r="A83" s="106" t="s">
        <v>489</v>
      </c>
      <c r="B83" s="107" t="s">
        <v>490</v>
      </c>
      <c r="C83" s="93">
        <f>23000+5000+5000</f>
        <v>33000</v>
      </c>
    </row>
    <row r="84" spans="1:3" ht="38.25" customHeight="1">
      <c r="A84" s="108" t="s">
        <v>3</v>
      </c>
      <c r="B84" s="103" t="s">
        <v>4</v>
      </c>
      <c r="C84" s="93">
        <v>172900</v>
      </c>
    </row>
    <row r="85" spans="1:3" ht="44.25" customHeight="1">
      <c r="A85" s="336" t="s">
        <v>5</v>
      </c>
      <c r="B85" s="103" t="s">
        <v>416</v>
      </c>
      <c r="C85" s="93">
        <v>172900</v>
      </c>
    </row>
    <row r="86" spans="1:3" ht="89.25" customHeight="1">
      <c r="A86" s="335" t="s">
        <v>491</v>
      </c>
      <c r="B86" s="128" t="s">
        <v>598</v>
      </c>
      <c r="C86" s="91">
        <f>SUM(C87:C88)</f>
        <v>26000</v>
      </c>
    </row>
    <row r="87" spans="1:3" ht="25.5">
      <c r="A87" s="80" t="s">
        <v>492</v>
      </c>
      <c r="B87" s="81" t="s">
        <v>493</v>
      </c>
      <c r="C87" s="93">
        <v>16000</v>
      </c>
    </row>
    <row r="88" spans="1:3" ht="27" customHeight="1">
      <c r="A88" s="80" t="s">
        <v>698</v>
      </c>
      <c r="B88" s="81" t="s">
        <v>699</v>
      </c>
      <c r="C88" s="93">
        <v>10000</v>
      </c>
    </row>
    <row r="89" spans="1:3" ht="51">
      <c r="A89" s="80" t="s">
        <v>494</v>
      </c>
      <c r="B89" s="81" t="s">
        <v>495</v>
      </c>
      <c r="C89" s="90">
        <v>821579</v>
      </c>
    </row>
    <row r="90" spans="1:3" ht="25.5">
      <c r="A90" s="80" t="s">
        <v>496</v>
      </c>
      <c r="B90" s="81" t="s">
        <v>497</v>
      </c>
      <c r="C90" s="91">
        <f>C91</f>
        <v>45500</v>
      </c>
    </row>
    <row r="91" spans="1:3" ht="25.5">
      <c r="A91" s="80" t="s">
        <v>498</v>
      </c>
      <c r="B91" s="81" t="s">
        <v>499</v>
      </c>
      <c r="C91" s="93">
        <v>45500</v>
      </c>
    </row>
    <row r="92" spans="1:3" ht="50.25" customHeight="1">
      <c r="A92" s="80" t="s">
        <v>195</v>
      </c>
      <c r="B92" s="81" t="s">
        <v>196</v>
      </c>
      <c r="C92" s="90">
        <v>111700</v>
      </c>
    </row>
    <row r="93" spans="1:3" ht="25.5">
      <c r="A93" s="80" t="s">
        <v>197</v>
      </c>
      <c r="B93" s="81" t="s">
        <v>198</v>
      </c>
      <c r="C93" s="91">
        <f>C94</f>
        <v>663039</v>
      </c>
    </row>
    <row r="94" spans="1:3" ht="38.25">
      <c r="A94" s="73" t="s">
        <v>199</v>
      </c>
      <c r="B94" s="84" t="s">
        <v>200</v>
      </c>
      <c r="C94" s="94">
        <v>663039</v>
      </c>
    </row>
    <row r="95" spans="1:3" ht="12.75">
      <c r="A95" s="60" t="s">
        <v>714</v>
      </c>
      <c r="B95" s="61" t="s">
        <v>688</v>
      </c>
      <c r="C95" s="95">
        <f>C96+C145+C149</f>
        <v>255257998.39000002</v>
      </c>
    </row>
    <row r="96" spans="1:3" ht="25.5">
      <c r="A96" s="62" t="s">
        <v>715</v>
      </c>
      <c r="B96" s="63" t="s">
        <v>595</v>
      </c>
      <c r="C96" s="96">
        <f>C97+C104+C114+C142</f>
        <v>254919250</v>
      </c>
    </row>
    <row r="97" spans="1:3" ht="25.5">
      <c r="A97" s="62" t="s">
        <v>702</v>
      </c>
      <c r="B97" s="63" t="s">
        <v>290</v>
      </c>
      <c r="C97" s="96">
        <f>C98+C100+C102</f>
        <v>67561499</v>
      </c>
    </row>
    <row r="98" spans="1:3" ht="16.5" customHeight="1">
      <c r="A98" s="64" t="s">
        <v>703</v>
      </c>
      <c r="B98" s="44" t="s">
        <v>689</v>
      </c>
      <c r="C98" s="97">
        <f>C99</f>
        <v>41639395</v>
      </c>
    </row>
    <row r="99" spans="1:3" ht="25.5">
      <c r="A99" s="64" t="s">
        <v>704</v>
      </c>
      <c r="B99" s="44" t="s">
        <v>291</v>
      </c>
      <c r="C99" s="98">
        <f>25656003+15983392</f>
        <v>41639395</v>
      </c>
    </row>
    <row r="100" spans="1:3" ht="25.5">
      <c r="A100" s="64" t="s">
        <v>105</v>
      </c>
      <c r="B100" s="44" t="s">
        <v>6</v>
      </c>
      <c r="C100" s="98">
        <f>C101</f>
        <v>23789752</v>
      </c>
    </row>
    <row r="101" spans="1:3" ht="25.5">
      <c r="A101" s="110" t="s">
        <v>106</v>
      </c>
      <c r="B101" s="44" t="s">
        <v>7</v>
      </c>
      <c r="C101" s="98">
        <f>21208235+2581517</f>
        <v>23789752</v>
      </c>
    </row>
    <row r="102" spans="1:3" ht="12.75">
      <c r="A102" s="317" t="s">
        <v>65</v>
      </c>
      <c r="B102" s="44" t="s">
        <v>66</v>
      </c>
      <c r="C102" s="98">
        <v>2132352</v>
      </c>
    </row>
    <row r="103" spans="1:3" ht="15">
      <c r="A103" s="112" t="s">
        <v>67</v>
      </c>
      <c r="B103" s="105" t="s">
        <v>68</v>
      </c>
      <c r="C103" s="98">
        <v>2132352</v>
      </c>
    </row>
    <row r="104" spans="1:3" ht="25.5">
      <c r="A104" s="294" t="s">
        <v>111</v>
      </c>
      <c r="B104" s="292" t="s">
        <v>8</v>
      </c>
      <c r="C104" s="98">
        <f>C105+C106+C107</f>
        <v>27275252</v>
      </c>
    </row>
    <row r="105" spans="1:3" ht="38.25">
      <c r="A105" s="296" t="s">
        <v>10</v>
      </c>
      <c r="B105" s="293" t="s">
        <v>11</v>
      </c>
      <c r="C105" s="98">
        <v>1971433</v>
      </c>
    </row>
    <row r="106" spans="1:3" ht="38.25">
      <c r="A106" s="295" t="s">
        <v>107</v>
      </c>
      <c r="B106" s="100" t="s">
        <v>9</v>
      </c>
      <c r="C106" s="98">
        <v>8904531</v>
      </c>
    </row>
    <row r="107" spans="1:3" ht="12.75">
      <c r="A107" s="297" t="s">
        <v>108</v>
      </c>
      <c r="B107" s="297" t="s">
        <v>12</v>
      </c>
      <c r="C107" s="98">
        <v>16399288</v>
      </c>
    </row>
    <row r="108" spans="1:3" ht="63.75">
      <c r="A108" s="297" t="s">
        <v>108</v>
      </c>
      <c r="B108" s="298" t="s">
        <v>13</v>
      </c>
      <c r="C108" s="98">
        <v>223284</v>
      </c>
    </row>
    <row r="109" spans="1:3" ht="25.5">
      <c r="A109" s="297" t="s">
        <v>108</v>
      </c>
      <c r="B109" s="299" t="s">
        <v>14</v>
      </c>
      <c r="C109" s="98">
        <v>1180303</v>
      </c>
    </row>
    <row r="110" spans="1:3" ht="25.5">
      <c r="A110" s="297" t="s">
        <v>108</v>
      </c>
      <c r="B110" s="109" t="s">
        <v>542</v>
      </c>
      <c r="C110" s="98">
        <v>4950000</v>
      </c>
    </row>
    <row r="111" spans="1:3" ht="51">
      <c r="A111" s="297" t="s">
        <v>108</v>
      </c>
      <c r="B111" s="297" t="s">
        <v>17</v>
      </c>
      <c r="C111" s="98">
        <v>500219</v>
      </c>
    </row>
    <row r="112" spans="1:3" ht="25.5">
      <c r="A112" s="297" t="s">
        <v>108</v>
      </c>
      <c r="B112" s="297" t="s">
        <v>18</v>
      </c>
      <c r="C112" s="98">
        <v>5095842</v>
      </c>
    </row>
    <row r="113" spans="1:3" ht="38.25" customHeight="1">
      <c r="A113" s="297" t="s">
        <v>108</v>
      </c>
      <c r="B113" s="109" t="s">
        <v>553</v>
      </c>
      <c r="C113" s="98">
        <v>4449640</v>
      </c>
    </row>
    <row r="114" spans="1:3" ht="25.5">
      <c r="A114" s="62" t="s">
        <v>705</v>
      </c>
      <c r="B114" s="63" t="s">
        <v>690</v>
      </c>
      <c r="C114" s="96">
        <f>C115+C117+C119+C121</f>
        <v>160022499</v>
      </c>
    </row>
    <row r="115" spans="1:3" ht="39" customHeight="1">
      <c r="A115" s="12" t="s">
        <v>706</v>
      </c>
      <c r="B115" s="44" t="s">
        <v>374</v>
      </c>
      <c r="C115" s="97">
        <f>C116</f>
        <v>140297</v>
      </c>
    </row>
    <row r="116" spans="1:3" ht="38.25">
      <c r="A116" s="12" t="s">
        <v>707</v>
      </c>
      <c r="B116" s="44" t="s">
        <v>296</v>
      </c>
      <c r="C116" s="98">
        <v>140297</v>
      </c>
    </row>
    <row r="117" spans="1:3" ht="38.25">
      <c r="A117" s="12" t="s">
        <v>708</v>
      </c>
      <c r="B117" s="44" t="s">
        <v>691</v>
      </c>
      <c r="C117" s="97">
        <f>C118</f>
        <v>4284341</v>
      </c>
    </row>
    <row r="118" spans="1:3" ht="38.25">
      <c r="A118" s="12" t="s">
        <v>709</v>
      </c>
      <c r="B118" s="44" t="s">
        <v>692</v>
      </c>
      <c r="C118" s="98">
        <f>4039316+245025</f>
        <v>4284341</v>
      </c>
    </row>
    <row r="119" spans="1:3" ht="51">
      <c r="A119" t="s">
        <v>109</v>
      </c>
      <c r="B119" s="103" t="s">
        <v>236</v>
      </c>
      <c r="C119" s="98">
        <v>9720</v>
      </c>
    </row>
    <row r="120" spans="1:3" ht="51">
      <c r="A120" s="308" t="s">
        <v>110</v>
      </c>
      <c r="B120" s="309" t="s">
        <v>237</v>
      </c>
      <c r="C120" s="98">
        <v>9720</v>
      </c>
    </row>
    <row r="121" spans="1:3" ht="12.75">
      <c r="A121" s="111" t="s">
        <v>710</v>
      </c>
      <c r="B121" s="65" t="s">
        <v>693</v>
      </c>
      <c r="C121" s="97">
        <f>C122</f>
        <v>155588141</v>
      </c>
    </row>
    <row r="122" spans="1:3" ht="12.75">
      <c r="A122" s="111" t="s">
        <v>710</v>
      </c>
      <c r="B122" s="65" t="s">
        <v>259</v>
      </c>
      <c r="C122" s="97">
        <f>SUM(C123:C126)+SUM(C128:C130)+C133+C139</f>
        <v>155588141</v>
      </c>
    </row>
    <row r="123" spans="1:3" ht="76.5">
      <c r="A123" s="111" t="s">
        <v>710</v>
      </c>
      <c r="B123" s="44" t="s">
        <v>573</v>
      </c>
      <c r="C123" s="98">
        <v>296000</v>
      </c>
    </row>
    <row r="124" spans="1:3" ht="90.75" customHeight="1">
      <c r="A124" s="111" t="s">
        <v>710</v>
      </c>
      <c r="B124" s="44" t="s">
        <v>599</v>
      </c>
      <c r="C124" s="98">
        <v>296000</v>
      </c>
    </row>
    <row r="125" spans="1:3" ht="76.5">
      <c r="A125" s="12" t="s">
        <v>710</v>
      </c>
      <c r="B125" s="44" t="s">
        <v>224</v>
      </c>
      <c r="C125" s="98">
        <v>296000</v>
      </c>
    </row>
    <row r="126" spans="1:3" ht="76.5">
      <c r="A126" s="12" t="s">
        <v>710</v>
      </c>
      <c r="B126" s="44" t="s">
        <v>246</v>
      </c>
      <c r="C126" s="97">
        <f>C127</f>
        <v>888000</v>
      </c>
    </row>
    <row r="127" spans="1:3" ht="12.75">
      <c r="A127" s="64"/>
      <c r="B127" s="66" t="s">
        <v>694</v>
      </c>
      <c r="C127" s="98">
        <v>888000</v>
      </c>
    </row>
    <row r="128" spans="1:3" ht="102" customHeight="1">
      <c r="A128" s="12" t="s">
        <v>710</v>
      </c>
      <c r="B128" s="44" t="s">
        <v>713</v>
      </c>
      <c r="C128" s="98">
        <f>84125248+4157764</f>
        <v>88283012</v>
      </c>
    </row>
    <row r="129" spans="1:3" ht="102">
      <c r="A129" s="12" t="s">
        <v>710</v>
      </c>
      <c r="B129" s="44" t="s">
        <v>385</v>
      </c>
      <c r="C129" s="98">
        <f>45776894+2322911</f>
        <v>48099805</v>
      </c>
    </row>
    <row r="130" spans="1:3" ht="100.5" customHeight="1">
      <c r="A130" s="12" t="s">
        <v>710</v>
      </c>
      <c r="B130" s="67" t="s">
        <v>408</v>
      </c>
      <c r="C130" s="97">
        <f>SUM(C131:C132)</f>
        <v>4429548</v>
      </c>
    </row>
    <row r="131" spans="1:3" ht="51">
      <c r="A131" s="64"/>
      <c r="B131" s="102" t="s">
        <v>331</v>
      </c>
      <c r="C131" s="98">
        <v>221676</v>
      </c>
    </row>
    <row r="132" spans="1:3" ht="25.5">
      <c r="A132" s="64"/>
      <c r="B132" s="102" t="s">
        <v>695</v>
      </c>
      <c r="C132" s="98">
        <f>3907872+300000</f>
        <v>4207872</v>
      </c>
    </row>
    <row r="133" spans="1:3" ht="63.75" customHeight="1">
      <c r="A133" s="12" t="s">
        <v>710</v>
      </c>
      <c r="B133" s="44" t="s">
        <v>577</v>
      </c>
      <c r="C133" s="97">
        <f>SUM(C134:C138)</f>
        <v>11864865</v>
      </c>
    </row>
    <row r="134" spans="1:3" ht="38.25">
      <c r="A134" s="64"/>
      <c r="B134" s="66" t="s">
        <v>696</v>
      </c>
      <c r="C134" s="98">
        <v>124300</v>
      </c>
    </row>
    <row r="135" spans="1:3" ht="25.5">
      <c r="A135" s="64"/>
      <c r="B135" s="66" t="s">
        <v>697</v>
      </c>
      <c r="C135" s="98">
        <v>7994472</v>
      </c>
    </row>
    <row r="136" spans="1:3" ht="51">
      <c r="A136" s="64"/>
      <c r="B136" s="66" t="s">
        <v>363</v>
      </c>
      <c r="C136" s="98">
        <v>398671</v>
      </c>
    </row>
    <row r="137" spans="1:3" ht="12.75">
      <c r="A137" s="64"/>
      <c r="B137" s="66" t="s">
        <v>364</v>
      </c>
      <c r="C137" s="98">
        <f>1199422+76000</f>
        <v>1275422</v>
      </c>
    </row>
    <row r="138" spans="1:3" ht="38.25">
      <c r="A138" s="64"/>
      <c r="B138" s="66" t="s">
        <v>365</v>
      </c>
      <c r="C138" s="98">
        <v>2072000</v>
      </c>
    </row>
    <row r="139" spans="1:3" ht="78.75" customHeight="1">
      <c r="A139" s="12" t="s">
        <v>710</v>
      </c>
      <c r="B139" s="67" t="s">
        <v>396</v>
      </c>
      <c r="C139" s="98">
        <f>SUM(C140:C141)</f>
        <v>1134911</v>
      </c>
    </row>
    <row r="140" spans="1:3" ht="25.5">
      <c r="A140" s="64"/>
      <c r="B140" s="66" t="s">
        <v>398</v>
      </c>
      <c r="C140" s="98">
        <v>986911</v>
      </c>
    </row>
    <row r="141" spans="1:3" ht="51">
      <c r="A141" s="110"/>
      <c r="B141" s="85" t="s">
        <v>397</v>
      </c>
      <c r="C141" s="99">
        <v>148000</v>
      </c>
    </row>
    <row r="142" spans="1:3" ht="12.75">
      <c r="A142" s="111" t="s">
        <v>417</v>
      </c>
      <c r="B142" s="112" t="s">
        <v>418</v>
      </c>
      <c r="C142" s="99">
        <v>60000</v>
      </c>
    </row>
    <row r="143" spans="1:3" ht="38.25">
      <c r="A143" s="111" t="s">
        <v>419</v>
      </c>
      <c r="B143" s="103" t="s">
        <v>420</v>
      </c>
      <c r="C143" s="99">
        <v>60000</v>
      </c>
    </row>
    <row r="144" spans="1:3" ht="51">
      <c r="A144" s="111" t="s">
        <v>421</v>
      </c>
      <c r="B144" s="103" t="s">
        <v>422</v>
      </c>
      <c r="C144" s="99">
        <v>60000</v>
      </c>
    </row>
    <row r="145" spans="1:3" ht="12.75">
      <c r="A145" s="111" t="s">
        <v>405</v>
      </c>
      <c r="B145" s="113" t="s">
        <v>423</v>
      </c>
      <c r="C145" s="99">
        <f>C146</f>
        <v>587472.31</v>
      </c>
    </row>
    <row r="146" spans="1:3" ht="25.5">
      <c r="A146" s="112" t="s">
        <v>424</v>
      </c>
      <c r="B146" s="67" t="s">
        <v>425</v>
      </c>
      <c r="C146" s="99">
        <f>C147+C148</f>
        <v>587472.31</v>
      </c>
    </row>
    <row r="147" spans="1:3" ht="38.25">
      <c r="A147" s="111" t="s">
        <v>426</v>
      </c>
      <c r="B147" s="109" t="s">
        <v>427</v>
      </c>
      <c r="C147" s="99">
        <f>408472.31+20000</f>
        <v>428472.31</v>
      </c>
    </row>
    <row r="148" spans="1:3" ht="25.5">
      <c r="A148" s="300" t="s">
        <v>19</v>
      </c>
      <c r="B148" s="301" t="s">
        <v>425</v>
      </c>
      <c r="C148" s="99">
        <v>159000</v>
      </c>
    </row>
    <row r="149" spans="1:3" ht="39" thickBot="1">
      <c r="A149" s="111" t="s">
        <v>428</v>
      </c>
      <c r="B149" s="114" t="s">
        <v>429</v>
      </c>
      <c r="C149" s="99">
        <v>-248723.92</v>
      </c>
    </row>
  </sheetData>
  <sheetProtection/>
  <mergeCells count="4">
    <mergeCell ref="A1:C1"/>
    <mergeCell ref="A2:C2"/>
    <mergeCell ref="A3:C3"/>
    <mergeCell ref="A4:C4"/>
  </mergeCells>
  <hyperlinks>
    <hyperlink ref="B105" r:id="rId1" display="dst100015"/>
  </hyperlink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H384"/>
  <sheetViews>
    <sheetView showGridLines="0" zoomScaleSheetLayoutView="100" zoomScalePageLayoutView="0" workbookViewId="0" topLeftCell="A1">
      <selection activeCell="A78" sqref="A78"/>
    </sheetView>
  </sheetViews>
  <sheetFormatPr defaultColWidth="9.140625" defaultRowHeight="12.75"/>
  <cols>
    <col min="1" max="1" width="54.140625" style="119" customWidth="1"/>
    <col min="2" max="2" width="3.8515625" style="119" customWidth="1"/>
    <col min="3" max="3" width="4.57421875" style="119" customWidth="1"/>
    <col min="4" max="4" width="13.28125" style="119" customWidth="1"/>
    <col min="5" max="5" width="4.57421875" style="119" customWidth="1"/>
    <col min="6" max="6" width="14.421875" style="135" customWidth="1"/>
    <col min="7" max="7" width="14.7109375" style="119" customWidth="1"/>
    <col min="8" max="8" width="9.140625" style="140" customWidth="1"/>
    <col min="9" max="16384" width="9.140625" style="119" customWidth="1"/>
  </cols>
  <sheetData>
    <row r="1" spans="1:6" ht="12.75">
      <c r="A1" s="115"/>
      <c r="B1" s="214"/>
      <c r="C1" s="214"/>
      <c r="D1" s="214"/>
      <c r="E1" s="214"/>
      <c r="F1" s="118" t="s">
        <v>176</v>
      </c>
    </row>
    <row r="2" spans="1:6" ht="12.75">
      <c r="A2" s="115"/>
      <c r="B2" s="214"/>
      <c r="C2" s="214"/>
      <c r="D2" s="214"/>
      <c r="E2" s="214"/>
      <c r="F2" s="57" t="s">
        <v>619</v>
      </c>
    </row>
    <row r="3" spans="1:6" ht="12.75">
      <c r="A3" s="121"/>
      <c r="B3" s="329" t="s">
        <v>617</v>
      </c>
      <c r="C3" s="331"/>
      <c r="D3" s="331"/>
      <c r="E3" s="331"/>
      <c r="F3" s="331"/>
    </row>
    <row r="4" spans="1:6" ht="38.25">
      <c r="A4" s="124" t="s">
        <v>119</v>
      </c>
      <c r="B4" s="124"/>
      <c r="C4" s="124"/>
      <c r="D4" s="124"/>
      <c r="E4" s="124"/>
      <c r="F4" s="126"/>
    </row>
    <row r="5" spans="1:6" ht="12.75">
      <c r="A5" s="127"/>
      <c r="B5" s="127"/>
      <c r="C5" s="127"/>
      <c r="D5" s="127"/>
      <c r="E5" s="127"/>
      <c r="F5" s="130" t="s">
        <v>264</v>
      </c>
    </row>
    <row r="6" spans="1:6" ht="12.75">
      <c r="A6" s="215" t="s">
        <v>260</v>
      </c>
      <c r="B6" s="215" t="s">
        <v>636</v>
      </c>
      <c r="C6" s="215" t="s">
        <v>637</v>
      </c>
      <c r="D6" s="215" t="s">
        <v>638</v>
      </c>
      <c r="E6" s="215" t="s">
        <v>639</v>
      </c>
      <c r="F6" s="216" t="s">
        <v>298</v>
      </c>
    </row>
    <row r="7" spans="1:8" ht="12.75">
      <c r="A7" s="217" t="s">
        <v>248</v>
      </c>
      <c r="B7" s="217" t="s">
        <v>261</v>
      </c>
      <c r="C7" s="217" t="s">
        <v>249</v>
      </c>
      <c r="D7" s="217" t="s">
        <v>640</v>
      </c>
      <c r="E7" s="217" t="s">
        <v>641</v>
      </c>
      <c r="F7" s="218" t="s">
        <v>642</v>
      </c>
      <c r="G7" s="135"/>
      <c r="H7" s="219"/>
    </row>
    <row r="8" spans="1:6" ht="12.75">
      <c r="A8" s="220" t="s">
        <v>265</v>
      </c>
      <c r="B8" s="221" t="s">
        <v>263</v>
      </c>
      <c r="C8" s="221" t="s">
        <v>263</v>
      </c>
      <c r="D8" s="221" t="s">
        <v>263</v>
      </c>
      <c r="E8" s="221" t="s">
        <v>263</v>
      </c>
      <c r="F8" s="222">
        <f>F9+F106+F112+F125+F160+F189+F195+F273+F298+F304+F371+F378</f>
        <v>367369518.37</v>
      </c>
    </row>
    <row r="9" spans="1:6" ht="12.75">
      <c r="A9" s="146" t="s">
        <v>593</v>
      </c>
      <c r="B9" s="147" t="s">
        <v>643</v>
      </c>
      <c r="C9" s="223" t="s">
        <v>214</v>
      </c>
      <c r="D9" s="147" t="s">
        <v>263</v>
      </c>
      <c r="E9" s="147" t="s">
        <v>263</v>
      </c>
      <c r="F9" s="149">
        <f>F10+F15+F25+F30+F45+F50</f>
        <v>40597950</v>
      </c>
    </row>
    <row r="10" spans="1:6" ht="25.5">
      <c r="A10" s="150" t="s">
        <v>644</v>
      </c>
      <c r="B10" s="151" t="s">
        <v>643</v>
      </c>
      <c r="C10" s="151" t="s">
        <v>645</v>
      </c>
      <c r="D10" s="151" t="s">
        <v>263</v>
      </c>
      <c r="E10" s="151" t="s">
        <v>263</v>
      </c>
      <c r="F10" s="152">
        <f>F11</f>
        <v>1217683</v>
      </c>
    </row>
    <row r="11" spans="1:6" ht="25.5">
      <c r="A11" s="153" t="s">
        <v>583</v>
      </c>
      <c r="B11" s="154" t="s">
        <v>643</v>
      </c>
      <c r="C11" s="154" t="s">
        <v>645</v>
      </c>
      <c r="D11" s="154" t="s">
        <v>522</v>
      </c>
      <c r="E11" s="154" t="s">
        <v>263</v>
      </c>
      <c r="F11" s="152">
        <f>F12</f>
        <v>1217683</v>
      </c>
    </row>
    <row r="12" spans="1:6" ht="12.75">
      <c r="A12" s="153" t="s">
        <v>685</v>
      </c>
      <c r="B12" s="154" t="s">
        <v>643</v>
      </c>
      <c r="C12" s="154" t="s">
        <v>645</v>
      </c>
      <c r="D12" s="154" t="s">
        <v>523</v>
      </c>
      <c r="E12" s="155" t="s">
        <v>263</v>
      </c>
      <c r="F12" s="152">
        <f>F13</f>
        <v>1217683</v>
      </c>
    </row>
    <row r="13" spans="1:6" ht="25.5">
      <c r="A13" s="155" t="s">
        <v>613</v>
      </c>
      <c r="B13" s="154" t="s">
        <v>643</v>
      </c>
      <c r="C13" s="154" t="s">
        <v>645</v>
      </c>
      <c r="D13" s="154" t="s">
        <v>524</v>
      </c>
      <c r="E13" s="154" t="s">
        <v>263</v>
      </c>
      <c r="F13" s="152">
        <f>F14</f>
        <v>1217683</v>
      </c>
    </row>
    <row r="14" spans="1:6" ht="51">
      <c r="A14" s="153" t="s">
        <v>268</v>
      </c>
      <c r="B14" s="154" t="s">
        <v>643</v>
      </c>
      <c r="C14" s="154" t="s">
        <v>645</v>
      </c>
      <c r="D14" s="154" t="s">
        <v>524</v>
      </c>
      <c r="E14" s="154" t="s">
        <v>592</v>
      </c>
      <c r="F14" s="156">
        <f>1239858-22175</f>
        <v>1217683</v>
      </c>
    </row>
    <row r="15" spans="1:6" ht="51">
      <c r="A15" s="150" t="s">
        <v>602</v>
      </c>
      <c r="B15" s="151" t="s">
        <v>643</v>
      </c>
      <c r="C15" s="151" t="s">
        <v>646</v>
      </c>
      <c r="D15" s="151" t="s">
        <v>263</v>
      </c>
      <c r="E15" s="151" t="s">
        <v>263</v>
      </c>
      <c r="F15" s="152">
        <f>F16</f>
        <v>10953623</v>
      </c>
    </row>
    <row r="16" spans="1:6" ht="12.75">
      <c r="A16" s="153" t="s">
        <v>170</v>
      </c>
      <c r="B16" s="154" t="s">
        <v>643</v>
      </c>
      <c r="C16" s="154" t="s">
        <v>646</v>
      </c>
      <c r="D16" s="154" t="s">
        <v>525</v>
      </c>
      <c r="E16" s="154" t="s">
        <v>263</v>
      </c>
      <c r="F16" s="152">
        <f>F17</f>
        <v>10953623</v>
      </c>
    </row>
    <row r="17" spans="1:6" ht="12.75">
      <c r="A17" s="153" t="s">
        <v>175</v>
      </c>
      <c r="B17" s="154" t="s">
        <v>643</v>
      </c>
      <c r="C17" s="154" t="s">
        <v>646</v>
      </c>
      <c r="D17" s="154" t="s">
        <v>526</v>
      </c>
      <c r="E17" s="155" t="s">
        <v>263</v>
      </c>
      <c r="F17" s="152">
        <f>F18+F21</f>
        <v>10953623</v>
      </c>
    </row>
    <row r="18" spans="1:6" ht="38.25">
      <c r="A18" s="153" t="s">
        <v>293</v>
      </c>
      <c r="B18" s="182" t="s">
        <v>643</v>
      </c>
      <c r="C18" s="182" t="s">
        <v>646</v>
      </c>
      <c r="D18" s="154" t="s">
        <v>527</v>
      </c>
      <c r="E18" s="155"/>
      <c r="F18" s="152">
        <f>SUM(F19:F20)</f>
        <v>296000</v>
      </c>
    </row>
    <row r="19" spans="1:6" ht="51">
      <c r="A19" s="153" t="s">
        <v>268</v>
      </c>
      <c r="B19" s="182" t="s">
        <v>643</v>
      </c>
      <c r="C19" s="182" t="s">
        <v>646</v>
      </c>
      <c r="D19" s="154" t="s">
        <v>527</v>
      </c>
      <c r="E19" s="155">
        <v>100</v>
      </c>
      <c r="F19" s="156">
        <f>273792+3800+7408</f>
        <v>285000</v>
      </c>
    </row>
    <row r="20" spans="1:6" ht="25.5">
      <c r="A20" s="153" t="s">
        <v>184</v>
      </c>
      <c r="B20" s="182" t="s">
        <v>643</v>
      </c>
      <c r="C20" s="182" t="s">
        <v>646</v>
      </c>
      <c r="D20" s="154" t="s">
        <v>527</v>
      </c>
      <c r="E20" s="155">
        <v>200</v>
      </c>
      <c r="F20" s="156">
        <f>18408-7408</f>
        <v>11000</v>
      </c>
    </row>
    <row r="21" spans="1:6" ht="25.5">
      <c r="A21" s="155" t="s">
        <v>613</v>
      </c>
      <c r="B21" s="154" t="s">
        <v>643</v>
      </c>
      <c r="C21" s="154" t="s">
        <v>646</v>
      </c>
      <c r="D21" s="154" t="s">
        <v>528</v>
      </c>
      <c r="E21" s="154" t="s">
        <v>263</v>
      </c>
      <c r="F21" s="152">
        <f>SUM(F22:F24)</f>
        <v>10657623</v>
      </c>
    </row>
    <row r="22" spans="1:6" ht="51">
      <c r="A22" s="153" t="s">
        <v>268</v>
      </c>
      <c r="B22" s="154" t="s">
        <v>643</v>
      </c>
      <c r="C22" s="154" t="s">
        <v>646</v>
      </c>
      <c r="D22" s="154" t="s">
        <v>528</v>
      </c>
      <c r="E22" s="154">
        <v>100</v>
      </c>
      <c r="F22" s="156">
        <f>7735168+1390261+156588+423328+31331</f>
        <v>9736676</v>
      </c>
    </row>
    <row r="23" spans="1:6" ht="25.5">
      <c r="A23" s="153" t="s">
        <v>184</v>
      </c>
      <c r="B23" s="154" t="s">
        <v>643</v>
      </c>
      <c r="C23" s="154" t="s">
        <v>646</v>
      </c>
      <c r="D23" s="154" t="s">
        <v>528</v>
      </c>
      <c r="E23" s="154">
        <v>200</v>
      </c>
      <c r="F23" s="156">
        <f>602385+113195+54052+17000</f>
        <v>786632</v>
      </c>
    </row>
    <row r="24" spans="1:6" ht="12.75">
      <c r="A24" s="153" t="s">
        <v>253</v>
      </c>
      <c r="B24" s="154" t="s">
        <v>643</v>
      </c>
      <c r="C24" s="154" t="s">
        <v>646</v>
      </c>
      <c r="D24" s="154" t="s">
        <v>528</v>
      </c>
      <c r="E24" s="154">
        <v>800</v>
      </c>
      <c r="F24" s="156">
        <f>142315-8000</f>
        <v>134315</v>
      </c>
    </row>
    <row r="25" spans="1:6" ht="12.75">
      <c r="A25" s="14" t="s">
        <v>238</v>
      </c>
      <c r="B25" s="15" t="s">
        <v>643</v>
      </c>
      <c r="C25" s="310" t="s">
        <v>59</v>
      </c>
      <c r="D25" s="15"/>
      <c r="E25" s="15"/>
      <c r="F25" s="156">
        <v>9720</v>
      </c>
    </row>
    <row r="26" spans="1:6" ht="25.5">
      <c r="A26" s="311" t="s">
        <v>39</v>
      </c>
      <c r="B26" s="15" t="s">
        <v>643</v>
      </c>
      <c r="C26" s="310" t="s">
        <v>59</v>
      </c>
      <c r="D26" s="17" t="s">
        <v>135</v>
      </c>
      <c r="E26" s="15"/>
      <c r="F26" s="156">
        <v>9720</v>
      </c>
    </row>
    <row r="27" spans="1:6" ht="25.5">
      <c r="A27" s="13" t="s">
        <v>40</v>
      </c>
      <c r="B27" s="15" t="s">
        <v>643</v>
      </c>
      <c r="C27" s="310" t="s">
        <v>59</v>
      </c>
      <c r="D27" s="17" t="s">
        <v>137</v>
      </c>
      <c r="E27" s="15"/>
      <c r="F27" s="156">
        <v>9720</v>
      </c>
    </row>
    <row r="28" spans="1:6" ht="38.25">
      <c r="A28" s="13" t="s">
        <v>239</v>
      </c>
      <c r="B28" s="15" t="s">
        <v>643</v>
      </c>
      <c r="C28" s="310" t="s">
        <v>59</v>
      </c>
      <c r="D28" s="17" t="s">
        <v>240</v>
      </c>
      <c r="E28" s="15"/>
      <c r="F28" s="156">
        <v>9720</v>
      </c>
    </row>
    <row r="29" spans="1:6" ht="25.5">
      <c r="A29" s="14" t="s">
        <v>184</v>
      </c>
      <c r="B29" s="15" t="s">
        <v>643</v>
      </c>
      <c r="C29" s="310" t="s">
        <v>59</v>
      </c>
      <c r="D29" s="17" t="s">
        <v>240</v>
      </c>
      <c r="E29" s="15">
        <v>200</v>
      </c>
      <c r="F29" s="156">
        <v>9720</v>
      </c>
    </row>
    <row r="30" spans="1:6" ht="38.25">
      <c r="A30" s="150" t="s">
        <v>594</v>
      </c>
      <c r="B30" s="151" t="s">
        <v>643</v>
      </c>
      <c r="C30" s="151" t="s">
        <v>647</v>
      </c>
      <c r="D30" s="151" t="s">
        <v>263</v>
      </c>
      <c r="E30" s="151" t="s">
        <v>263</v>
      </c>
      <c r="F30" s="152">
        <f>F31+F37</f>
        <v>4904422</v>
      </c>
    </row>
    <row r="31" spans="1:6" ht="25.5">
      <c r="A31" s="161" t="s">
        <v>388</v>
      </c>
      <c r="B31" s="154" t="s">
        <v>643</v>
      </c>
      <c r="C31" s="154" t="s">
        <v>647</v>
      </c>
      <c r="D31" s="154" t="s">
        <v>529</v>
      </c>
      <c r="E31" s="154" t="s">
        <v>263</v>
      </c>
      <c r="F31" s="152">
        <f>F32</f>
        <v>3976733</v>
      </c>
    </row>
    <row r="32" spans="1:6" ht="51">
      <c r="A32" s="162" t="s">
        <v>390</v>
      </c>
      <c r="B32" s="154" t="s">
        <v>643</v>
      </c>
      <c r="C32" s="154" t="s">
        <v>647</v>
      </c>
      <c r="D32" s="154" t="s">
        <v>530</v>
      </c>
      <c r="E32" s="155" t="s">
        <v>263</v>
      </c>
      <c r="F32" s="152">
        <f>F33</f>
        <v>3976733</v>
      </c>
    </row>
    <row r="33" spans="1:6" ht="38.25">
      <c r="A33" s="24" t="s">
        <v>414</v>
      </c>
      <c r="B33" s="154" t="s">
        <v>643</v>
      </c>
      <c r="C33" s="154" t="s">
        <v>647</v>
      </c>
      <c r="D33" s="154" t="s">
        <v>321</v>
      </c>
      <c r="E33" s="155"/>
      <c r="F33" s="152">
        <f>F34</f>
        <v>3976733</v>
      </c>
    </row>
    <row r="34" spans="1:6" ht="25.5">
      <c r="A34" s="155" t="s">
        <v>613</v>
      </c>
      <c r="B34" s="154" t="s">
        <v>643</v>
      </c>
      <c r="C34" s="154" t="s">
        <v>647</v>
      </c>
      <c r="D34" s="154" t="s">
        <v>531</v>
      </c>
      <c r="E34" s="154" t="s">
        <v>263</v>
      </c>
      <c r="F34" s="152">
        <f>SUM(F35:F36)</f>
        <v>3976733</v>
      </c>
    </row>
    <row r="35" spans="1:6" ht="51">
      <c r="A35" s="153" t="s">
        <v>268</v>
      </c>
      <c r="B35" s="154" t="s">
        <v>643</v>
      </c>
      <c r="C35" s="154" t="s">
        <v>647</v>
      </c>
      <c r="D35" s="154" t="s">
        <v>531</v>
      </c>
      <c r="E35" s="154">
        <v>100</v>
      </c>
      <c r="F35" s="156">
        <f>3047569+547747+61672+96709+11606</f>
        <v>3765303</v>
      </c>
    </row>
    <row r="36" spans="1:6" ht="25.5">
      <c r="A36" s="153" t="s">
        <v>184</v>
      </c>
      <c r="B36" s="154" t="s">
        <v>643</v>
      </c>
      <c r="C36" s="154" t="s">
        <v>647</v>
      </c>
      <c r="D36" s="154" t="s">
        <v>531</v>
      </c>
      <c r="E36" s="154" t="s">
        <v>250</v>
      </c>
      <c r="F36" s="156">
        <f>86135+99970+12325+13000</f>
        <v>211430</v>
      </c>
    </row>
    <row r="37" spans="1:6" ht="25.5">
      <c r="A37" s="161" t="s">
        <v>386</v>
      </c>
      <c r="B37" s="154" t="s">
        <v>643</v>
      </c>
      <c r="C37" s="154" t="s">
        <v>647</v>
      </c>
      <c r="D37" s="159" t="s">
        <v>532</v>
      </c>
      <c r="E37" s="155" t="s">
        <v>263</v>
      </c>
      <c r="F37" s="152">
        <f>F38+F41</f>
        <v>927689</v>
      </c>
    </row>
    <row r="38" spans="1:6" ht="25.5">
      <c r="A38" s="162" t="s">
        <v>387</v>
      </c>
      <c r="B38" s="154" t="s">
        <v>643</v>
      </c>
      <c r="C38" s="154" t="s">
        <v>647</v>
      </c>
      <c r="D38" s="163" t="s">
        <v>533</v>
      </c>
      <c r="E38" s="154" t="s">
        <v>263</v>
      </c>
      <c r="F38" s="152">
        <f>F39</f>
        <v>591433.54</v>
      </c>
    </row>
    <row r="39" spans="1:6" ht="25.5">
      <c r="A39" s="155" t="s">
        <v>613</v>
      </c>
      <c r="B39" s="154" t="s">
        <v>643</v>
      </c>
      <c r="C39" s="154" t="s">
        <v>647</v>
      </c>
      <c r="D39" s="159" t="s">
        <v>534</v>
      </c>
      <c r="E39" s="154"/>
      <c r="F39" s="152">
        <f>SUM(F40:F40)</f>
        <v>591433.54</v>
      </c>
    </row>
    <row r="40" spans="1:6" ht="51">
      <c r="A40" s="153" t="s">
        <v>268</v>
      </c>
      <c r="B40" s="154" t="s">
        <v>643</v>
      </c>
      <c r="C40" s="154" t="s">
        <v>647</v>
      </c>
      <c r="D40" s="159" t="s">
        <v>534</v>
      </c>
      <c r="E40" s="154">
        <v>100</v>
      </c>
      <c r="F40" s="152">
        <f>468873+84271+9492+27147.54+1650</f>
        <v>591433.54</v>
      </c>
    </row>
    <row r="41" spans="1:6" ht="25.5">
      <c r="A41" s="153" t="s">
        <v>161</v>
      </c>
      <c r="B41" s="154" t="s">
        <v>643</v>
      </c>
      <c r="C41" s="154" t="s">
        <v>647</v>
      </c>
      <c r="D41" s="163" t="s">
        <v>160</v>
      </c>
      <c r="E41" s="154"/>
      <c r="F41" s="152">
        <f>F42</f>
        <v>336255.46</v>
      </c>
    </row>
    <row r="42" spans="1:6" ht="25.5">
      <c r="A42" s="155" t="s">
        <v>613</v>
      </c>
      <c r="B42" s="154" t="s">
        <v>643</v>
      </c>
      <c r="C42" s="154" t="s">
        <v>647</v>
      </c>
      <c r="D42" s="159" t="s">
        <v>159</v>
      </c>
      <c r="E42" s="154"/>
      <c r="F42" s="152">
        <f>SUM(F43:F44)</f>
        <v>336255.46</v>
      </c>
    </row>
    <row r="43" spans="1:6" ht="51">
      <c r="A43" s="153" t="s">
        <v>268</v>
      </c>
      <c r="B43" s="154" t="s">
        <v>643</v>
      </c>
      <c r="C43" s="154" t="s">
        <v>647</v>
      </c>
      <c r="D43" s="159" t="s">
        <v>159</v>
      </c>
      <c r="E43" s="154">
        <v>100</v>
      </c>
      <c r="F43" s="156">
        <f>258109+46391+5225+14530.46+1000</f>
        <v>325255.46</v>
      </c>
    </row>
    <row r="44" spans="1:6" ht="25.5">
      <c r="A44" s="153" t="s">
        <v>184</v>
      </c>
      <c r="B44" s="154" t="s">
        <v>643</v>
      </c>
      <c r="C44" s="154" t="s">
        <v>647</v>
      </c>
      <c r="D44" s="159" t="s">
        <v>159</v>
      </c>
      <c r="E44" s="154">
        <v>200</v>
      </c>
      <c r="F44" s="156">
        <v>11000</v>
      </c>
    </row>
    <row r="45" spans="1:6" ht="12.75">
      <c r="A45" s="150" t="s">
        <v>648</v>
      </c>
      <c r="B45" s="151" t="s">
        <v>643</v>
      </c>
      <c r="C45" s="151" t="s">
        <v>649</v>
      </c>
      <c r="D45" s="151" t="s">
        <v>263</v>
      </c>
      <c r="E45" s="151" t="s">
        <v>263</v>
      </c>
      <c r="F45" s="152">
        <f>F46</f>
        <v>79630</v>
      </c>
    </row>
    <row r="46" spans="1:6" ht="12.75">
      <c r="A46" s="153" t="s">
        <v>391</v>
      </c>
      <c r="B46" s="154" t="s">
        <v>643</v>
      </c>
      <c r="C46" s="154" t="s">
        <v>649</v>
      </c>
      <c r="D46" s="154" t="s">
        <v>535</v>
      </c>
      <c r="E46" s="154" t="s">
        <v>263</v>
      </c>
      <c r="F46" s="152">
        <f>F47</f>
        <v>79630</v>
      </c>
    </row>
    <row r="47" spans="1:6" ht="12.75">
      <c r="A47" s="153" t="s">
        <v>648</v>
      </c>
      <c r="B47" s="154" t="s">
        <v>643</v>
      </c>
      <c r="C47" s="154" t="s">
        <v>649</v>
      </c>
      <c r="D47" s="154" t="s">
        <v>536</v>
      </c>
      <c r="E47" s="155" t="s">
        <v>263</v>
      </c>
      <c r="F47" s="152">
        <f>F48</f>
        <v>79630</v>
      </c>
    </row>
    <row r="48" spans="1:6" ht="12.75">
      <c r="A48" s="155" t="s">
        <v>616</v>
      </c>
      <c r="B48" s="154" t="s">
        <v>643</v>
      </c>
      <c r="C48" s="154" t="s">
        <v>649</v>
      </c>
      <c r="D48" s="154" t="s">
        <v>122</v>
      </c>
      <c r="E48" s="157" t="s">
        <v>263</v>
      </c>
      <c r="F48" s="152">
        <f>F49</f>
        <v>79630</v>
      </c>
    </row>
    <row r="49" spans="1:6" ht="12.75">
      <c r="A49" s="153" t="s">
        <v>253</v>
      </c>
      <c r="B49" s="154" t="s">
        <v>643</v>
      </c>
      <c r="C49" s="154" t="s">
        <v>649</v>
      </c>
      <c r="D49" s="154" t="s">
        <v>122</v>
      </c>
      <c r="E49" s="154" t="s">
        <v>254</v>
      </c>
      <c r="F49" s="156">
        <v>79630</v>
      </c>
    </row>
    <row r="50" spans="1:6" ht="12.75">
      <c r="A50" s="150" t="s">
        <v>173</v>
      </c>
      <c r="B50" s="151" t="s">
        <v>643</v>
      </c>
      <c r="C50" s="151" t="s">
        <v>675</v>
      </c>
      <c r="D50" s="151" t="s">
        <v>263</v>
      </c>
      <c r="E50" s="151" t="s">
        <v>263</v>
      </c>
      <c r="F50" s="152">
        <f>F51+F61+F68+F79+F84+F88+F105</f>
        <v>23432872</v>
      </c>
    </row>
    <row r="51" spans="1:6" ht="25.5">
      <c r="A51" s="161" t="s">
        <v>560</v>
      </c>
      <c r="B51" s="154" t="s">
        <v>643</v>
      </c>
      <c r="C51" s="154" t="s">
        <v>675</v>
      </c>
      <c r="D51" s="154" t="s">
        <v>123</v>
      </c>
      <c r="E51" s="154" t="s">
        <v>263</v>
      </c>
      <c r="F51" s="152">
        <f>F52+F56</f>
        <v>1012300</v>
      </c>
    </row>
    <row r="52" spans="1:6" ht="51">
      <c r="A52" s="162" t="s">
        <v>37</v>
      </c>
      <c r="B52" s="154" t="s">
        <v>643</v>
      </c>
      <c r="C52" s="154" t="s">
        <v>675</v>
      </c>
      <c r="D52" s="163" t="s">
        <v>127</v>
      </c>
      <c r="E52" s="155" t="s">
        <v>263</v>
      </c>
      <c r="F52" s="152">
        <f>F53</f>
        <v>124300</v>
      </c>
    </row>
    <row r="53" spans="1:8" ht="38.25">
      <c r="A53" s="29" t="s">
        <v>201</v>
      </c>
      <c r="B53" s="154" t="s">
        <v>643</v>
      </c>
      <c r="C53" s="154" t="s">
        <v>675</v>
      </c>
      <c r="D53" s="163" t="s">
        <v>359</v>
      </c>
      <c r="E53" s="155"/>
      <c r="F53" s="152">
        <f>F54</f>
        <v>124300</v>
      </c>
      <c r="H53" s="140" t="s">
        <v>118</v>
      </c>
    </row>
    <row r="54" spans="1:6" ht="38.25">
      <c r="A54" s="155" t="s">
        <v>38</v>
      </c>
      <c r="B54" s="154" t="s">
        <v>643</v>
      </c>
      <c r="C54" s="154" t="s">
        <v>675</v>
      </c>
      <c r="D54" s="159" t="s">
        <v>202</v>
      </c>
      <c r="E54" s="154" t="s">
        <v>263</v>
      </c>
      <c r="F54" s="152">
        <f>F55</f>
        <v>124300</v>
      </c>
    </row>
    <row r="55" spans="1:6" ht="25.5">
      <c r="A55" s="153" t="s">
        <v>266</v>
      </c>
      <c r="B55" s="154" t="s">
        <v>643</v>
      </c>
      <c r="C55" s="154" t="s">
        <v>675</v>
      </c>
      <c r="D55" s="159" t="s">
        <v>202</v>
      </c>
      <c r="E55" s="154" t="s">
        <v>255</v>
      </c>
      <c r="F55" s="156">
        <f>122900+1400</f>
        <v>124300</v>
      </c>
    </row>
    <row r="56" spans="1:6" ht="51">
      <c r="A56" s="162" t="s">
        <v>389</v>
      </c>
      <c r="B56" s="154" t="s">
        <v>643</v>
      </c>
      <c r="C56" s="154" t="s">
        <v>675</v>
      </c>
      <c r="D56" s="154" t="s">
        <v>128</v>
      </c>
      <c r="E56" s="155" t="s">
        <v>263</v>
      </c>
      <c r="F56" s="152">
        <f>F57</f>
        <v>888000</v>
      </c>
    </row>
    <row r="57" spans="1:6" ht="38.25">
      <c r="A57" s="153" t="s">
        <v>588</v>
      </c>
      <c r="B57" s="154" t="s">
        <v>643</v>
      </c>
      <c r="C57" s="154" t="s">
        <v>675</v>
      </c>
      <c r="D57" s="154" t="s">
        <v>415</v>
      </c>
      <c r="E57" s="155"/>
      <c r="F57" s="152">
        <f>F58</f>
        <v>888000</v>
      </c>
    </row>
    <row r="58" spans="1:6" ht="38.25">
      <c r="A58" s="155" t="s">
        <v>294</v>
      </c>
      <c r="B58" s="154" t="s">
        <v>643</v>
      </c>
      <c r="C58" s="154" t="s">
        <v>675</v>
      </c>
      <c r="D58" s="159" t="s">
        <v>203</v>
      </c>
      <c r="E58" s="154"/>
      <c r="F58" s="152">
        <f>SUM(F59:F60)</f>
        <v>888000</v>
      </c>
    </row>
    <row r="59" spans="1:6" ht="51">
      <c r="A59" s="153" t="s">
        <v>268</v>
      </c>
      <c r="B59" s="154" t="s">
        <v>643</v>
      </c>
      <c r="C59" s="154" t="s">
        <v>675</v>
      </c>
      <c r="D59" s="159" t="s">
        <v>203</v>
      </c>
      <c r="E59" s="154">
        <v>100</v>
      </c>
      <c r="F59" s="156">
        <f>831238-39403.84</f>
        <v>791834.16</v>
      </c>
    </row>
    <row r="60" spans="1:6" ht="25.5">
      <c r="A60" s="153" t="s">
        <v>184</v>
      </c>
      <c r="B60" s="154" t="s">
        <v>643</v>
      </c>
      <c r="C60" s="154" t="s">
        <v>675</v>
      </c>
      <c r="D60" s="159" t="s">
        <v>203</v>
      </c>
      <c r="E60" s="154" t="s">
        <v>250</v>
      </c>
      <c r="F60" s="156">
        <f>45362+11400+39403.84</f>
        <v>96165.84</v>
      </c>
    </row>
    <row r="61" spans="1:6" ht="51">
      <c r="A61" s="158" t="s">
        <v>178</v>
      </c>
      <c r="B61" s="154" t="s">
        <v>643</v>
      </c>
      <c r="C61" s="154" t="s">
        <v>675</v>
      </c>
      <c r="D61" s="159" t="s">
        <v>129</v>
      </c>
      <c r="E61" s="154" t="s">
        <v>263</v>
      </c>
      <c r="F61" s="152">
        <f>F62</f>
        <v>2242430</v>
      </c>
    </row>
    <row r="62" spans="1:6" ht="25.5">
      <c r="A62" s="160" t="s">
        <v>179</v>
      </c>
      <c r="B62" s="154" t="s">
        <v>643</v>
      </c>
      <c r="C62" s="154" t="s">
        <v>675</v>
      </c>
      <c r="D62" s="159" t="s">
        <v>130</v>
      </c>
      <c r="E62" s="157" t="s">
        <v>263</v>
      </c>
      <c r="F62" s="152">
        <f>F63</f>
        <v>2242430</v>
      </c>
    </row>
    <row r="63" spans="1:6" ht="38.25">
      <c r="A63" s="25" t="s">
        <v>158</v>
      </c>
      <c r="B63" s="154" t="s">
        <v>643</v>
      </c>
      <c r="C63" s="154" t="s">
        <v>675</v>
      </c>
      <c r="D63" s="159" t="s">
        <v>131</v>
      </c>
      <c r="E63" s="157"/>
      <c r="F63" s="152">
        <f>F64</f>
        <v>2242430</v>
      </c>
    </row>
    <row r="64" spans="1:6" ht="12.75">
      <c r="A64" s="155" t="s">
        <v>295</v>
      </c>
      <c r="B64" s="154" t="s">
        <v>643</v>
      </c>
      <c r="C64" s="154" t="s">
        <v>675</v>
      </c>
      <c r="D64" s="159" t="s">
        <v>132</v>
      </c>
      <c r="E64" s="157" t="s">
        <v>263</v>
      </c>
      <c r="F64" s="152">
        <f>SUM(F65:F67)</f>
        <v>2242430</v>
      </c>
    </row>
    <row r="65" spans="1:6" ht="25.5">
      <c r="A65" s="153" t="s">
        <v>184</v>
      </c>
      <c r="B65" s="154" t="s">
        <v>643</v>
      </c>
      <c r="C65" s="154" t="s">
        <v>675</v>
      </c>
      <c r="D65" s="159" t="s">
        <v>132</v>
      </c>
      <c r="E65" s="154" t="s">
        <v>250</v>
      </c>
      <c r="F65" s="156">
        <f>824683+25000+30000+935000+10400</f>
        <v>1825083</v>
      </c>
    </row>
    <row r="66" spans="1:6" ht="25.5">
      <c r="A66" s="109" t="s">
        <v>546</v>
      </c>
      <c r="B66" s="154" t="s">
        <v>643</v>
      </c>
      <c r="C66" s="154" t="s">
        <v>675</v>
      </c>
      <c r="D66" s="159" t="s">
        <v>132</v>
      </c>
      <c r="E66" s="154">
        <v>400</v>
      </c>
      <c r="F66" s="156">
        <v>311000</v>
      </c>
    </row>
    <row r="67" spans="1:6" ht="12.75">
      <c r="A67" s="153" t="s">
        <v>253</v>
      </c>
      <c r="B67" s="154" t="s">
        <v>643</v>
      </c>
      <c r="C67" s="154" t="s">
        <v>675</v>
      </c>
      <c r="D67" s="159" t="s">
        <v>132</v>
      </c>
      <c r="E67" s="154">
        <v>800</v>
      </c>
      <c r="F67" s="156">
        <f>32347+4000+70000</f>
        <v>106347</v>
      </c>
    </row>
    <row r="68" spans="1:6" ht="54.75" customHeight="1">
      <c r="A68" s="161" t="s">
        <v>545</v>
      </c>
      <c r="B68" s="154" t="s">
        <v>643</v>
      </c>
      <c r="C68" s="154" t="s">
        <v>675</v>
      </c>
      <c r="D68" s="154" t="s">
        <v>133</v>
      </c>
      <c r="E68" s="154"/>
      <c r="F68" s="152">
        <f>F69</f>
        <v>466000</v>
      </c>
    </row>
    <row r="69" spans="1:6" ht="63.75">
      <c r="A69" s="162" t="s">
        <v>555</v>
      </c>
      <c r="B69" s="154" t="s">
        <v>643</v>
      </c>
      <c r="C69" s="154" t="s">
        <v>675</v>
      </c>
      <c r="D69" s="154" t="s">
        <v>134</v>
      </c>
      <c r="E69" s="154"/>
      <c r="F69" s="152">
        <f>F70+F76</f>
        <v>466000</v>
      </c>
    </row>
    <row r="70" spans="1:6" ht="25.5">
      <c r="A70" s="153" t="s">
        <v>15</v>
      </c>
      <c r="B70" s="154" t="s">
        <v>643</v>
      </c>
      <c r="C70" s="154" t="s">
        <v>675</v>
      </c>
      <c r="D70" s="154" t="s">
        <v>541</v>
      </c>
      <c r="E70" s="154"/>
      <c r="F70" s="152">
        <f>F71+F74</f>
        <v>446000</v>
      </c>
    </row>
    <row r="71" spans="1:6" ht="38.25">
      <c r="A71" s="153" t="s">
        <v>540</v>
      </c>
      <c r="B71" s="154" t="s">
        <v>643</v>
      </c>
      <c r="C71" s="154" t="s">
        <v>675</v>
      </c>
      <c r="D71" s="154" t="s">
        <v>204</v>
      </c>
      <c r="E71" s="154"/>
      <c r="F71" s="152">
        <f>SUM(F72:F73)</f>
        <v>296000</v>
      </c>
    </row>
    <row r="72" spans="1:6" ht="51">
      <c r="A72" s="153" t="s">
        <v>268</v>
      </c>
      <c r="B72" s="154" t="s">
        <v>643</v>
      </c>
      <c r="C72" s="154" t="s">
        <v>675</v>
      </c>
      <c r="D72" s="154" t="s">
        <v>204</v>
      </c>
      <c r="E72" s="154">
        <v>100</v>
      </c>
      <c r="F72" s="156">
        <f>286475.15+3800+4074.85</f>
        <v>294350</v>
      </c>
    </row>
    <row r="73" spans="1:6" ht="25.5">
      <c r="A73" s="153" t="s">
        <v>184</v>
      </c>
      <c r="B73" s="154" t="s">
        <v>643</v>
      </c>
      <c r="C73" s="154" t="s">
        <v>675</v>
      </c>
      <c r="D73" s="154" t="s">
        <v>204</v>
      </c>
      <c r="E73" s="154">
        <v>200</v>
      </c>
      <c r="F73" s="156">
        <f>5724.85-4074.85</f>
        <v>1650.0000000000005</v>
      </c>
    </row>
    <row r="74" spans="1:6" ht="24">
      <c r="A74" s="31" t="s">
        <v>231</v>
      </c>
      <c r="B74" s="154" t="s">
        <v>643</v>
      </c>
      <c r="C74" s="154" t="s">
        <v>675</v>
      </c>
      <c r="D74" s="154" t="s">
        <v>732</v>
      </c>
      <c r="E74" s="154"/>
      <c r="F74" s="156">
        <v>150000</v>
      </c>
    </row>
    <row r="75" spans="1:6" ht="25.5">
      <c r="A75" s="153" t="s">
        <v>184</v>
      </c>
      <c r="B75" s="154" t="s">
        <v>643</v>
      </c>
      <c r="C75" s="154" t="s">
        <v>675</v>
      </c>
      <c r="D75" s="154" t="s">
        <v>732</v>
      </c>
      <c r="E75" s="154">
        <v>200</v>
      </c>
      <c r="F75" s="156">
        <v>150000</v>
      </c>
    </row>
    <row r="76" spans="1:6" ht="25.5">
      <c r="A76" s="153" t="s">
        <v>16</v>
      </c>
      <c r="B76" s="154" t="s">
        <v>643</v>
      </c>
      <c r="C76" s="154" t="s">
        <v>675</v>
      </c>
      <c r="D76" s="154" t="s">
        <v>235</v>
      </c>
      <c r="E76" s="154"/>
      <c r="F76" s="152">
        <f>F77</f>
        <v>20000</v>
      </c>
    </row>
    <row r="77" spans="1:6" ht="24">
      <c r="A77" s="31" t="s">
        <v>231</v>
      </c>
      <c r="B77" s="154" t="s">
        <v>643</v>
      </c>
      <c r="C77" s="154" t="s">
        <v>675</v>
      </c>
      <c r="D77" s="154" t="s">
        <v>232</v>
      </c>
      <c r="E77" s="154"/>
      <c r="F77" s="152">
        <f>F78</f>
        <v>20000</v>
      </c>
    </row>
    <row r="78" spans="1:6" ht="25.5">
      <c r="A78" s="153" t="s">
        <v>184</v>
      </c>
      <c r="B78" s="154" t="s">
        <v>643</v>
      </c>
      <c r="C78" s="154" t="s">
        <v>675</v>
      </c>
      <c r="D78" s="154" t="s">
        <v>232</v>
      </c>
      <c r="E78" s="154">
        <v>200</v>
      </c>
      <c r="F78" s="156">
        <v>20000</v>
      </c>
    </row>
    <row r="79" spans="1:6" ht="51">
      <c r="A79" s="161" t="s">
        <v>286</v>
      </c>
      <c r="B79" s="154" t="s">
        <v>643</v>
      </c>
      <c r="C79" s="154" t="s">
        <v>675</v>
      </c>
      <c r="D79" s="154" t="s">
        <v>288</v>
      </c>
      <c r="E79" s="154"/>
      <c r="F79" s="152">
        <f>F80</f>
        <v>30000</v>
      </c>
    </row>
    <row r="80" spans="1:6" ht="63.75">
      <c r="A80" s="162" t="s">
        <v>287</v>
      </c>
      <c r="B80" s="154" t="s">
        <v>643</v>
      </c>
      <c r="C80" s="154" t="s">
        <v>675</v>
      </c>
      <c r="D80" s="154" t="s">
        <v>289</v>
      </c>
      <c r="E80" s="154"/>
      <c r="F80" s="152">
        <f>F81</f>
        <v>30000</v>
      </c>
    </row>
    <row r="81" spans="1:6" ht="25.5">
      <c r="A81" s="153" t="s">
        <v>338</v>
      </c>
      <c r="B81" s="154" t="s">
        <v>643</v>
      </c>
      <c r="C81" s="154" t="s">
        <v>675</v>
      </c>
      <c r="D81" s="154" t="s">
        <v>339</v>
      </c>
      <c r="E81" s="154"/>
      <c r="F81" s="152">
        <f>F82</f>
        <v>30000</v>
      </c>
    </row>
    <row r="82" spans="1:6" ht="38.25">
      <c r="A82" s="153" t="s">
        <v>343</v>
      </c>
      <c r="B82" s="154" t="s">
        <v>643</v>
      </c>
      <c r="C82" s="154" t="s">
        <v>675</v>
      </c>
      <c r="D82" s="154" t="s">
        <v>340</v>
      </c>
      <c r="E82" s="154"/>
      <c r="F82" s="152">
        <f>F83</f>
        <v>30000</v>
      </c>
    </row>
    <row r="83" spans="1:6" ht="25.5">
      <c r="A83" s="153" t="s">
        <v>184</v>
      </c>
      <c r="B83" s="154" t="s">
        <v>643</v>
      </c>
      <c r="C83" s="154" t="s">
        <v>675</v>
      </c>
      <c r="D83" s="154" t="s">
        <v>340</v>
      </c>
      <c r="E83" s="154">
        <v>200</v>
      </c>
      <c r="F83" s="156">
        <v>30000</v>
      </c>
    </row>
    <row r="84" spans="1:6" ht="25.5">
      <c r="A84" s="153" t="s">
        <v>632</v>
      </c>
      <c r="B84" s="154" t="s">
        <v>643</v>
      </c>
      <c r="C84" s="154" t="s">
        <v>675</v>
      </c>
      <c r="D84" s="159" t="s">
        <v>631</v>
      </c>
      <c r="E84" s="154"/>
      <c r="F84" s="156">
        <f>F85</f>
        <v>61500</v>
      </c>
    </row>
    <row r="85" spans="1:6" ht="12.75">
      <c r="A85" s="162" t="s">
        <v>630</v>
      </c>
      <c r="B85" s="154" t="s">
        <v>643</v>
      </c>
      <c r="C85" s="154" t="s">
        <v>675</v>
      </c>
      <c r="D85" s="159" t="s">
        <v>629</v>
      </c>
      <c r="E85" s="154"/>
      <c r="F85" s="156">
        <f>F86</f>
        <v>61500</v>
      </c>
    </row>
    <row r="86" spans="1:6" ht="25.5">
      <c r="A86" s="155" t="s">
        <v>157</v>
      </c>
      <c r="B86" s="154" t="s">
        <v>643</v>
      </c>
      <c r="C86" s="154" t="s">
        <v>675</v>
      </c>
      <c r="D86" s="159" t="s">
        <v>600</v>
      </c>
      <c r="E86" s="154"/>
      <c r="F86" s="156">
        <f>F87</f>
        <v>61500</v>
      </c>
    </row>
    <row r="87" spans="1:6" ht="12.75">
      <c r="A87" s="153" t="s">
        <v>253</v>
      </c>
      <c r="B87" s="154" t="s">
        <v>643</v>
      </c>
      <c r="C87" s="154" t="s">
        <v>675</v>
      </c>
      <c r="D87" s="159" t="s">
        <v>600</v>
      </c>
      <c r="E87" s="154">
        <v>800</v>
      </c>
      <c r="F87" s="156">
        <f>45500+16000</f>
        <v>61500</v>
      </c>
    </row>
    <row r="88" spans="1:6" ht="25.5">
      <c r="A88" s="161" t="s">
        <v>39</v>
      </c>
      <c r="B88" s="154" t="s">
        <v>643</v>
      </c>
      <c r="C88" s="154" t="s">
        <v>675</v>
      </c>
      <c r="D88" s="159" t="s">
        <v>135</v>
      </c>
      <c r="E88" s="157" t="s">
        <v>263</v>
      </c>
      <c r="F88" s="152">
        <f>F89</f>
        <v>19560642</v>
      </c>
    </row>
    <row r="89" spans="1:6" ht="25.5">
      <c r="A89" s="162" t="s">
        <v>40</v>
      </c>
      <c r="B89" s="154" t="s">
        <v>643</v>
      </c>
      <c r="C89" s="154" t="s">
        <v>675</v>
      </c>
      <c r="D89" s="163" t="s">
        <v>137</v>
      </c>
      <c r="E89" s="164" t="s">
        <v>263</v>
      </c>
      <c r="F89" s="152">
        <f>F90+F94+F97+F99</f>
        <v>19560642</v>
      </c>
    </row>
    <row r="90" spans="1:6" ht="25.5">
      <c r="A90" s="155" t="s">
        <v>283</v>
      </c>
      <c r="B90" s="154" t="s">
        <v>643</v>
      </c>
      <c r="C90" s="154" t="s">
        <v>675</v>
      </c>
      <c r="D90" s="159" t="s">
        <v>138</v>
      </c>
      <c r="E90" s="157" t="s">
        <v>263</v>
      </c>
      <c r="F90" s="152">
        <f>SUM(F91:F93)</f>
        <v>17013755</v>
      </c>
    </row>
    <row r="91" spans="1:6" ht="51">
      <c r="A91" s="153" t="s">
        <v>268</v>
      </c>
      <c r="B91" s="154" t="s">
        <v>643</v>
      </c>
      <c r="C91" s="154" t="s">
        <v>675</v>
      </c>
      <c r="D91" s="159" t="s">
        <v>138</v>
      </c>
      <c r="E91" s="154" t="s">
        <v>592</v>
      </c>
      <c r="F91" s="156">
        <f>15003250+1082785+277965+11716+66000</f>
        <v>16441716</v>
      </c>
    </row>
    <row r="92" spans="1:6" ht="25.5">
      <c r="A92" s="153" t="s">
        <v>184</v>
      </c>
      <c r="B92" s="154" t="s">
        <v>643</v>
      </c>
      <c r="C92" s="154" t="s">
        <v>675</v>
      </c>
      <c r="D92" s="159" t="s">
        <v>138</v>
      </c>
      <c r="E92" s="154" t="s">
        <v>250</v>
      </c>
      <c r="F92" s="156">
        <f>537840+13360</f>
        <v>551200</v>
      </c>
    </row>
    <row r="93" spans="1:6" ht="12.75">
      <c r="A93" s="153" t="s">
        <v>253</v>
      </c>
      <c r="B93" s="154" t="s">
        <v>643</v>
      </c>
      <c r="C93" s="154" t="s">
        <v>675</v>
      </c>
      <c r="D93" s="159" t="s">
        <v>138</v>
      </c>
      <c r="E93" s="154" t="s">
        <v>254</v>
      </c>
      <c r="F93" s="156">
        <f>15339+5500</f>
        <v>20839</v>
      </c>
    </row>
    <row r="94" spans="1:6" ht="25.5">
      <c r="A94" s="155" t="s">
        <v>157</v>
      </c>
      <c r="B94" s="154" t="s">
        <v>643</v>
      </c>
      <c r="C94" s="154" t="s">
        <v>675</v>
      </c>
      <c r="D94" s="159" t="s">
        <v>635</v>
      </c>
      <c r="E94" s="154"/>
      <c r="F94" s="152">
        <f>F95+F96</f>
        <v>2098887</v>
      </c>
    </row>
    <row r="95" spans="1:6" ht="12.75">
      <c r="A95" s="165" t="s">
        <v>257</v>
      </c>
      <c r="B95" s="154" t="s">
        <v>643</v>
      </c>
      <c r="C95" s="154" t="s">
        <v>675</v>
      </c>
      <c r="D95" s="159" t="s">
        <v>635</v>
      </c>
      <c r="E95" s="154">
        <v>300</v>
      </c>
      <c r="F95" s="152">
        <v>5000</v>
      </c>
    </row>
    <row r="96" spans="1:6" ht="12.75">
      <c r="A96" s="153" t="s">
        <v>253</v>
      </c>
      <c r="B96" s="154" t="s">
        <v>643</v>
      </c>
      <c r="C96" s="154" t="s">
        <v>675</v>
      </c>
      <c r="D96" s="159" t="s">
        <v>635</v>
      </c>
      <c r="E96" s="154">
        <v>800</v>
      </c>
      <c r="F96" s="156">
        <f>6401299-4307412</f>
        <v>2093887</v>
      </c>
    </row>
    <row r="97" spans="1:6" ht="25.5">
      <c r="A97" s="155" t="s">
        <v>216</v>
      </c>
      <c r="B97" s="154" t="s">
        <v>643</v>
      </c>
      <c r="C97" s="154" t="s">
        <v>675</v>
      </c>
      <c r="D97" s="159" t="s">
        <v>139</v>
      </c>
      <c r="E97" s="157" t="s">
        <v>263</v>
      </c>
      <c r="F97" s="152">
        <f>F98</f>
        <v>300000</v>
      </c>
    </row>
    <row r="98" spans="1:6" ht="25.5">
      <c r="A98" s="153" t="s">
        <v>184</v>
      </c>
      <c r="B98" s="154" t="s">
        <v>643</v>
      </c>
      <c r="C98" s="154" t="s">
        <v>675</v>
      </c>
      <c r="D98" s="159" t="s">
        <v>139</v>
      </c>
      <c r="E98" s="159">
        <v>200</v>
      </c>
      <c r="F98" s="156">
        <v>300000</v>
      </c>
    </row>
    <row r="99" spans="1:6" ht="51">
      <c r="A99" s="36" t="s">
        <v>394</v>
      </c>
      <c r="B99" s="154" t="s">
        <v>643</v>
      </c>
      <c r="C99" s="154" t="s">
        <v>675</v>
      </c>
      <c r="D99" s="159" t="s">
        <v>167</v>
      </c>
      <c r="E99" s="159"/>
      <c r="F99" s="152">
        <f>SUM(F100:F101)</f>
        <v>148000</v>
      </c>
    </row>
    <row r="100" spans="1:6" ht="51">
      <c r="A100" s="153" t="s">
        <v>268</v>
      </c>
      <c r="B100" s="154" t="s">
        <v>643</v>
      </c>
      <c r="C100" s="154" t="s">
        <v>675</v>
      </c>
      <c r="D100" s="159" t="s">
        <v>167</v>
      </c>
      <c r="E100" s="159">
        <v>100</v>
      </c>
      <c r="F100" s="156">
        <f>125000+1900</f>
        <v>126900</v>
      </c>
    </row>
    <row r="101" spans="1:6" ht="25.5">
      <c r="A101" s="165" t="s">
        <v>184</v>
      </c>
      <c r="B101" s="166" t="s">
        <v>643</v>
      </c>
      <c r="C101" s="166" t="s">
        <v>675</v>
      </c>
      <c r="D101" s="167" t="s">
        <v>167</v>
      </c>
      <c r="E101" s="167">
        <v>200</v>
      </c>
      <c r="F101" s="168">
        <v>21100</v>
      </c>
    </row>
    <row r="102" spans="1:6" ht="12.75">
      <c r="A102" s="169" t="s">
        <v>391</v>
      </c>
      <c r="B102" s="154" t="s">
        <v>643</v>
      </c>
      <c r="C102" s="154">
        <v>13</v>
      </c>
      <c r="D102" s="154" t="s">
        <v>535</v>
      </c>
      <c r="E102" s="159"/>
      <c r="F102" s="170">
        <v>60000</v>
      </c>
    </row>
    <row r="103" spans="1:6" ht="12.75">
      <c r="A103" s="153" t="s">
        <v>648</v>
      </c>
      <c r="B103" s="154" t="s">
        <v>643</v>
      </c>
      <c r="C103" s="154">
        <v>13</v>
      </c>
      <c r="D103" s="154" t="s">
        <v>536</v>
      </c>
      <c r="E103" s="155" t="s">
        <v>263</v>
      </c>
      <c r="F103" s="170">
        <v>60000</v>
      </c>
    </row>
    <row r="104" spans="1:6" ht="12.75">
      <c r="A104" s="153" t="s">
        <v>430</v>
      </c>
      <c r="B104" s="154" t="s">
        <v>643</v>
      </c>
      <c r="C104" s="154">
        <v>13</v>
      </c>
      <c r="D104" s="154" t="s">
        <v>431</v>
      </c>
      <c r="E104" s="157" t="s">
        <v>263</v>
      </c>
      <c r="F104" s="170">
        <v>60000</v>
      </c>
    </row>
    <row r="105" spans="1:6" ht="12.75">
      <c r="A105" s="165" t="s">
        <v>257</v>
      </c>
      <c r="B105" s="166" t="s">
        <v>643</v>
      </c>
      <c r="C105" s="166">
        <v>13</v>
      </c>
      <c r="D105" s="166" t="s">
        <v>431</v>
      </c>
      <c r="E105" s="166">
        <v>300</v>
      </c>
      <c r="F105" s="170">
        <v>60000</v>
      </c>
    </row>
    <row r="106" spans="1:6" ht="12.75">
      <c r="A106" s="146" t="s">
        <v>634</v>
      </c>
      <c r="B106" s="147" t="s">
        <v>645</v>
      </c>
      <c r="C106" s="148" t="s">
        <v>214</v>
      </c>
      <c r="D106" s="147" t="s">
        <v>263</v>
      </c>
      <c r="E106" s="147" t="s">
        <v>263</v>
      </c>
      <c r="F106" s="149">
        <f>F107</f>
        <v>72200</v>
      </c>
    </row>
    <row r="107" spans="1:6" ht="12.75">
      <c r="A107" s="150" t="s">
        <v>633</v>
      </c>
      <c r="B107" s="151" t="s">
        <v>645</v>
      </c>
      <c r="C107" s="151" t="s">
        <v>646</v>
      </c>
      <c r="D107" s="171" t="s">
        <v>263</v>
      </c>
      <c r="E107" s="171" t="s">
        <v>263</v>
      </c>
      <c r="F107" s="152">
        <f>F108</f>
        <v>72200</v>
      </c>
    </row>
    <row r="108" spans="1:6" ht="25.5">
      <c r="A108" s="153" t="s">
        <v>632</v>
      </c>
      <c r="B108" s="154" t="s">
        <v>645</v>
      </c>
      <c r="C108" s="154" t="s">
        <v>646</v>
      </c>
      <c r="D108" s="159" t="s">
        <v>631</v>
      </c>
      <c r="E108" s="157" t="s">
        <v>263</v>
      </c>
      <c r="F108" s="152">
        <f>F109</f>
        <v>72200</v>
      </c>
    </row>
    <row r="109" spans="1:6" ht="12.75">
      <c r="A109" s="153" t="s">
        <v>630</v>
      </c>
      <c r="B109" s="154" t="s">
        <v>645</v>
      </c>
      <c r="C109" s="154" t="s">
        <v>646</v>
      </c>
      <c r="D109" s="159" t="s">
        <v>629</v>
      </c>
      <c r="E109" s="157"/>
      <c r="F109" s="152">
        <f>F110</f>
        <v>72200</v>
      </c>
    </row>
    <row r="110" spans="1:6" ht="25.5">
      <c r="A110" s="27" t="s">
        <v>628</v>
      </c>
      <c r="B110" s="154" t="s">
        <v>645</v>
      </c>
      <c r="C110" s="154" t="s">
        <v>646</v>
      </c>
      <c r="D110" s="159" t="s">
        <v>627</v>
      </c>
      <c r="E110" s="164" t="s">
        <v>263</v>
      </c>
      <c r="F110" s="152">
        <f>F111</f>
        <v>72200</v>
      </c>
    </row>
    <row r="111" spans="1:6" ht="25.5">
      <c r="A111" s="165" t="s">
        <v>267</v>
      </c>
      <c r="B111" s="166" t="s">
        <v>645</v>
      </c>
      <c r="C111" s="166" t="s">
        <v>646</v>
      </c>
      <c r="D111" s="167" t="s">
        <v>627</v>
      </c>
      <c r="E111" s="166">
        <v>200</v>
      </c>
      <c r="F111" s="168">
        <v>72200</v>
      </c>
    </row>
    <row r="112" spans="1:6" ht="25.5">
      <c r="A112" s="146" t="s">
        <v>174</v>
      </c>
      <c r="B112" s="147" t="s">
        <v>676</v>
      </c>
      <c r="C112" s="148" t="s">
        <v>214</v>
      </c>
      <c r="D112" s="147" t="s">
        <v>263</v>
      </c>
      <c r="E112" s="147" t="s">
        <v>263</v>
      </c>
      <c r="F112" s="149">
        <f>F113</f>
        <v>2036880.5</v>
      </c>
    </row>
    <row r="113" spans="1:6" ht="38.25">
      <c r="A113" s="150" t="s">
        <v>604</v>
      </c>
      <c r="B113" s="151" t="s">
        <v>676</v>
      </c>
      <c r="C113" s="151" t="s">
        <v>677</v>
      </c>
      <c r="D113" s="151" t="s">
        <v>263</v>
      </c>
      <c r="E113" s="151" t="s">
        <v>263</v>
      </c>
      <c r="F113" s="152">
        <f>F114</f>
        <v>2036880.5</v>
      </c>
    </row>
    <row r="114" spans="1:6" ht="51">
      <c r="A114" s="161" t="s">
        <v>556</v>
      </c>
      <c r="B114" s="154" t="s">
        <v>676</v>
      </c>
      <c r="C114" s="154" t="s">
        <v>677</v>
      </c>
      <c r="D114" s="159" t="s">
        <v>140</v>
      </c>
      <c r="E114" s="154" t="s">
        <v>263</v>
      </c>
      <c r="F114" s="152">
        <f>F115+F121</f>
        <v>2036880.5</v>
      </c>
    </row>
    <row r="115" spans="1:6" ht="79.5" customHeight="1">
      <c r="A115" s="32" t="s">
        <v>543</v>
      </c>
      <c r="B115" s="154" t="s">
        <v>676</v>
      </c>
      <c r="C115" s="154" t="s">
        <v>677</v>
      </c>
      <c r="D115" s="159" t="s">
        <v>141</v>
      </c>
      <c r="E115" s="154"/>
      <c r="F115" s="152">
        <f>F116</f>
        <v>1996880.5</v>
      </c>
    </row>
    <row r="116" spans="1:6" ht="63.75">
      <c r="A116" s="24" t="s">
        <v>518</v>
      </c>
      <c r="B116" s="154" t="s">
        <v>676</v>
      </c>
      <c r="C116" s="154" t="s">
        <v>677</v>
      </c>
      <c r="D116" s="159" t="s">
        <v>146</v>
      </c>
      <c r="E116" s="154"/>
      <c r="F116" s="152">
        <f>F117</f>
        <v>1996880.5</v>
      </c>
    </row>
    <row r="117" spans="1:6" ht="25.5">
      <c r="A117" s="155" t="s">
        <v>283</v>
      </c>
      <c r="B117" s="154" t="s">
        <v>676</v>
      </c>
      <c r="C117" s="154" t="s">
        <v>677</v>
      </c>
      <c r="D117" s="159" t="s">
        <v>147</v>
      </c>
      <c r="E117" s="154" t="s">
        <v>263</v>
      </c>
      <c r="F117" s="152">
        <f>SUM(F118:F120)</f>
        <v>1996880.5</v>
      </c>
    </row>
    <row r="118" spans="1:6" ht="51">
      <c r="A118" s="153" t="s">
        <v>268</v>
      </c>
      <c r="B118" s="154" t="s">
        <v>676</v>
      </c>
      <c r="C118" s="154" t="s">
        <v>677</v>
      </c>
      <c r="D118" s="159" t="s">
        <v>147</v>
      </c>
      <c r="E118" s="154" t="s">
        <v>592</v>
      </c>
      <c r="F118" s="156">
        <f>1635933+118536+30131+3350-800+33500</f>
        <v>1820650</v>
      </c>
    </row>
    <row r="119" spans="1:6" ht="25.5">
      <c r="A119" s="153" t="s">
        <v>184</v>
      </c>
      <c r="B119" s="154" t="s">
        <v>676</v>
      </c>
      <c r="C119" s="154" t="s">
        <v>677</v>
      </c>
      <c r="D119" s="159" t="s">
        <v>147</v>
      </c>
      <c r="E119" s="154" t="s">
        <v>250</v>
      </c>
      <c r="F119" s="156">
        <f>144661.5+22754+7550</f>
        <v>174965.5</v>
      </c>
    </row>
    <row r="120" spans="1:6" ht="12.75">
      <c r="A120" s="165" t="s">
        <v>253</v>
      </c>
      <c r="B120" s="166" t="s">
        <v>676</v>
      </c>
      <c r="C120" s="166" t="s">
        <v>677</v>
      </c>
      <c r="D120" s="167" t="s">
        <v>147</v>
      </c>
      <c r="E120" s="281" t="s">
        <v>254</v>
      </c>
      <c r="F120" s="241">
        <v>1265</v>
      </c>
    </row>
    <row r="121" spans="1:6" ht="49.5" customHeight="1">
      <c r="A121" s="32" t="s">
        <v>86</v>
      </c>
      <c r="B121" s="154" t="s">
        <v>676</v>
      </c>
      <c r="C121" s="154" t="s">
        <v>677</v>
      </c>
      <c r="D121" s="159" t="s">
        <v>87</v>
      </c>
      <c r="E121" s="324"/>
      <c r="F121" s="307">
        <v>40000</v>
      </c>
    </row>
    <row r="122" spans="1:6" ht="42" customHeight="1">
      <c r="A122" s="24" t="s">
        <v>88</v>
      </c>
      <c r="B122" s="154" t="s">
        <v>676</v>
      </c>
      <c r="C122" s="154" t="s">
        <v>677</v>
      </c>
      <c r="D122" s="159" t="s">
        <v>89</v>
      </c>
      <c r="E122" s="324"/>
      <c r="F122" s="307">
        <v>40000</v>
      </c>
    </row>
    <row r="123" spans="1:6" ht="25.5">
      <c r="A123" s="321" t="s">
        <v>91</v>
      </c>
      <c r="B123" s="154" t="s">
        <v>676</v>
      </c>
      <c r="C123" s="154" t="s">
        <v>677</v>
      </c>
      <c r="D123" s="159" t="s">
        <v>90</v>
      </c>
      <c r="E123" s="324"/>
      <c r="F123" s="307">
        <v>40000</v>
      </c>
    </row>
    <row r="124" spans="1:6" ht="25.5">
      <c r="A124" s="153" t="s">
        <v>184</v>
      </c>
      <c r="B124" s="154" t="s">
        <v>676</v>
      </c>
      <c r="C124" s="154" t="s">
        <v>677</v>
      </c>
      <c r="D124" s="159" t="s">
        <v>90</v>
      </c>
      <c r="E124" s="143">
        <v>200</v>
      </c>
      <c r="F124" s="170">
        <v>40000</v>
      </c>
    </row>
    <row r="125" spans="1:6" ht="12.75">
      <c r="A125" s="146" t="s">
        <v>605</v>
      </c>
      <c r="B125" s="147" t="s">
        <v>646</v>
      </c>
      <c r="C125" s="148" t="s">
        <v>214</v>
      </c>
      <c r="D125" s="147" t="s">
        <v>263</v>
      </c>
      <c r="E125" s="147" t="s">
        <v>263</v>
      </c>
      <c r="F125" s="149">
        <f>F126+F136+F155</f>
        <v>8112629.960000001</v>
      </c>
    </row>
    <row r="126" spans="1:6" ht="12.75">
      <c r="A126" s="150" t="s">
        <v>606</v>
      </c>
      <c r="B126" s="151" t="s">
        <v>646</v>
      </c>
      <c r="C126" s="151" t="s">
        <v>643</v>
      </c>
      <c r="D126" s="151" t="s">
        <v>263</v>
      </c>
      <c r="E126" s="151" t="s">
        <v>263</v>
      </c>
      <c r="F126" s="152">
        <f>F127</f>
        <v>380154.9</v>
      </c>
    </row>
    <row r="127" spans="1:6" ht="25.5">
      <c r="A127" s="161" t="s">
        <v>538</v>
      </c>
      <c r="B127" s="154" t="s">
        <v>646</v>
      </c>
      <c r="C127" s="154" t="s">
        <v>643</v>
      </c>
      <c r="D127" s="159" t="s">
        <v>142</v>
      </c>
      <c r="E127" s="154" t="s">
        <v>263</v>
      </c>
      <c r="F127" s="152">
        <f>F128+F132</f>
        <v>380154.9</v>
      </c>
    </row>
    <row r="128" spans="1:6" ht="51">
      <c r="A128" s="162" t="s">
        <v>584</v>
      </c>
      <c r="B128" s="154" t="s">
        <v>646</v>
      </c>
      <c r="C128" s="154" t="s">
        <v>643</v>
      </c>
      <c r="D128" s="159" t="s">
        <v>143</v>
      </c>
      <c r="E128" s="154"/>
      <c r="F128" s="152">
        <f>F129</f>
        <v>84154.9</v>
      </c>
    </row>
    <row r="129" spans="1:6" ht="38.25">
      <c r="A129" s="25" t="s">
        <v>626</v>
      </c>
      <c r="B129" s="154" t="s">
        <v>646</v>
      </c>
      <c r="C129" s="154" t="s">
        <v>643</v>
      </c>
      <c r="D129" s="159" t="s">
        <v>144</v>
      </c>
      <c r="E129" s="154"/>
      <c r="F129" s="152">
        <f>F130</f>
        <v>84154.9</v>
      </c>
    </row>
    <row r="130" spans="1:6" ht="25.5">
      <c r="A130" s="153" t="s">
        <v>537</v>
      </c>
      <c r="B130" s="154" t="s">
        <v>646</v>
      </c>
      <c r="C130" s="154" t="s">
        <v>643</v>
      </c>
      <c r="D130" s="159" t="s">
        <v>145</v>
      </c>
      <c r="E130" s="154"/>
      <c r="F130" s="152">
        <f>F131</f>
        <v>84154.9</v>
      </c>
    </row>
    <row r="131" spans="1:6" ht="25.5">
      <c r="A131" s="153" t="s">
        <v>266</v>
      </c>
      <c r="B131" s="154" t="s">
        <v>646</v>
      </c>
      <c r="C131" s="154" t="s">
        <v>643</v>
      </c>
      <c r="D131" s="159" t="s">
        <v>145</v>
      </c>
      <c r="E131" s="154">
        <v>600</v>
      </c>
      <c r="F131" s="156">
        <f>78467+5687.9</f>
        <v>84154.9</v>
      </c>
    </row>
    <row r="132" spans="1:6" ht="38.25">
      <c r="A132" s="162" t="s">
        <v>585</v>
      </c>
      <c r="B132" s="154" t="s">
        <v>646</v>
      </c>
      <c r="C132" s="154" t="s">
        <v>643</v>
      </c>
      <c r="D132" s="159" t="s">
        <v>148</v>
      </c>
      <c r="E132" s="154"/>
      <c r="F132" s="152">
        <f>F133</f>
        <v>296000</v>
      </c>
    </row>
    <row r="133" spans="1:6" ht="38.25">
      <c r="A133" s="24" t="s">
        <v>205</v>
      </c>
      <c r="B133" s="154" t="s">
        <v>646</v>
      </c>
      <c r="C133" s="154" t="s">
        <v>643</v>
      </c>
      <c r="D133" s="159" t="s">
        <v>149</v>
      </c>
      <c r="E133" s="154"/>
      <c r="F133" s="152">
        <f>F134</f>
        <v>296000</v>
      </c>
    </row>
    <row r="134" spans="1:6" ht="25.5">
      <c r="A134" s="155" t="s">
        <v>172</v>
      </c>
      <c r="B134" s="154" t="s">
        <v>646</v>
      </c>
      <c r="C134" s="154" t="s">
        <v>643</v>
      </c>
      <c r="D134" s="159" t="s">
        <v>150</v>
      </c>
      <c r="E134" s="157" t="s">
        <v>263</v>
      </c>
      <c r="F134" s="152">
        <f>SUM(F135:F135)</f>
        <v>296000</v>
      </c>
    </row>
    <row r="135" spans="1:6" ht="51">
      <c r="A135" s="153" t="s">
        <v>268</v>
      </c>
      <c r="B135" s="154" t="s">
        <v>646</v>
      </c>
      <c r="C135" s="154" t="s">
        <v>643</v>
      </c>
      <c r="D135" s="159" t="s">
        <v>150</v>
      </c>
      <c r="E135" s="154">
        <v>100</v>
      </c>
      <c r="F135" s="156">
        <f>292200+3800</f>
        <v>296000</v>
      </c>
    </row>
    <row r="136" spans="1:6" ht="12.75">
      <c r="A136" s="150" t="s">
        <v>262</v>
      </c>
      <c r="B136" s="151" t="s">
        <v>646</v>
      </c>
      <c r="C136" s="151" t="s">
        <v>677</v>
      </c>
      <c r="D136" s="171" t="s">
        <v>263</v>
      </c>
      <c r="E136" s="171" t="s">
        <v>263</v>
      </c>
      <c r="F136" s="152">
        <f>F137</f>
        <v>7412475.0600000005</v>
      </c>
    </row>
    <row r="137" spans="1:6" ht="63.75">
      <c r="A137" s="161" t="s">
        <v>181</v>
      </c>
      <c r="B137" s="154" t="s">
        <v>646</v>
      </c>
      <c r="C137" s="154" t="s">
        <v>677</v>
      </c>
      <c r="D137" s="159" t="s">
        <v>151</v>
      </c>
      <c r="E137" s="157" t="s">
        <v>263</v>
      </c>
      <c r="F137" s="152">
        <f>F138+F149</f>
        <v>7412475.0600000005</v>
      </c>
    </row>
    <row r="138" spans="1:6" ht="76.5">
      <c r="A138" s="13" t="s">
        <v>625</v>
      </c>
      <c r="B138" s="154" t="s">
        <v>646</v>
      </c>
      <c r="C138" s="154" t="s">
        <v>677</v>
      </c>
      <c r="D138" s="163" t="s">
        <v>189</v>
      </c>
      <c r="E138" s="164" t="s">
        <v>263</v>
      </c>
      <c r="F138" s="152">
        <f>F139+F142</f>
        <v>6254882</v>
      </c>
    </row>
    <row r="139" spans="1:6" ht="25.5">
      <c r="A139" s="25" t="s">
        <v>188</v>
      </c>
      <c r="B139" s="154" t="s">
        <v>646</v>
      </c>
      <c r="C139" s="154" t="s">
        <v>677</v>
      </c>
      <c r="D139" s="159" t="s">
        <v>187</v>
      </c>
      <c r="E139" s="164"/>
      <c r="F139" s="152">
        <f>F140</f>
        <v>1488252</v>
      </c>
    </row>
    <row r="140" spans="1:6" ht="25.5">
      <c r="A140" s="28" t="s">
        <v>153</v>
      </c>
      <c r="B140" s="154" t="s">
        <v>646</v>
      </c>
      <c r="C140" s="154" t="s">
        <v>677</v>
      </c>
      <c r="D140" s="159" t="s">
        <v>186</v>
      </c>
      <c r="E140" s="164"/>
      <c r="F140" s="152">
        <f>F141</f>
        <v>1488252</v>
      </c>
    </row>
    <row r="141" spans="1:7" ht="12.75">
      <c r="A141" s="153" t="s">
        <v>253</v>
      </c>
      <c r="B141" s="154" t="s">
        <v>646</v>
      </c>
      <c r="C141" s="154" t="s">
        <v>677</v>
      </c>
      <c r="D141" s="159" t="s">
        <v>186</v>
      </c>
      <c r="E141" s="155">
        <v>800</v>
      </c>
      <c r="F141" s="156">
        <f>186564+150000+900000+251688</f>
        <v>1488252</v>
      </c>
      <c r="G141" s="320"/>
    </row>
    <row r="142" spans="1:6" ht="38.25">
      <c r="A142" s="25" t="s">
        <v>185</v>
      </c>
      <c r="B142" s="154" t="s">
        <v>646</v>
      </c>
      <c r="C142" s="154" t="s">
        <v>677</v>
      </c>
      <c r="D142" s="159" t="s">
        <v>509</v>
      </c>
      <c r="E142" s="164"/>
      <c r="F142" s="152">
        <f>F143+F145+F147</f>
        <v>4766630</v>
      </c>
    </row>
    <row r="143" spans="1:6" ht="38.25">
      <c r="A143" s="305" t="s">
        <v>242</v>
      </c>
      <c r="B143" s="154" t="s">
        <v>646</v>
      </c>
      <c r="C143" s="154" t="s">
        <v>677</v>
      </c>
      <c r="D143" s="159" t="s">
        <v>554</v>
      </c>
      <c r="E143" s="164"/>
      <c r="F143" s="152">
        <v>4449640</v>
      </c>
    </row>
    <row r="144" spans="1:6" ht="25.5">
      <c r="A144" s="153" t="s">
        <v>184</v>
      </c>
      <c r="B144" s="154" t="s">
        <v>646</v>
      </c>
      <c r="C144" s="154" t="s">
        <v>677</v>
      </c>
      <c r="D144" s="159" t="s">
        <v>554</v>
      </c>
      <c r="E144" s="312">
        <v>200</v>
      </c>
      <c r="F144" s="152">
        <v>4449640</v>
      </c>
    </row>
    <row r="145" spans="1:6" ht="38.25">
      <c r="A145" s="305" t="s">
        <v>242</v>
      </c>
      <c r="B145" s="154" t="s">
        <v>646</v>
      </c>
      <c r="C145" s="154" t="s">
        <v>677</v>
      </c>
      <c r="D145" s="159" t="s">
        <v>241</v>
      </c>
      <c r="E145" s="164"/>
      <c r="F145" s="152">
        <f>F146</f>
        <v>44950</v>
      </c>
    </row>
    <row r="146" spans="1:6" ht="25.5">
      <c r="A146" s="153" t="s">
        <v>184</v>
      </c>
      <c r="B146" s="154" t="s">
        <v>646</v>
      </c>
      <c r="C146" s="154" t="s">
        <v>677</v>
      </c>
      <c r="D146" s="159" t="s">
        <v>241</v>
      </c>
      <c r="E146" s="312">
        <v>200</v>
      </c>
      <c r="F146" s="152">
        <v>44950</v>
      </c>
    </row>
    <row r="147" spans="1:6" ht="25.5">
      <c r="A147" s="27" t="s">
        <v>153</v>
      </c>
      <c r="B147" s="154" t="s">
        <v>646</v>
      </c>
      <c r="C147" s="154" t="s">
        <v>677</v>
      </c>
      <c r="D147" s="159" t="s">
        <v>192</v>
      </c>
      <c r="E147" s="154" t="s">
        <v>263</v>
      </c>
      <c r="F147" s="152">
        <f>F148</f>
        <v>272040</v>
      </c>
    </row>
    <row r="148" spans="1:6" ht="25.5">
      <c r="A148" s="153" t="s">
        <v>184</v>
      </c>
      <c r="B148" s="154" t="s">
        <v>646</v>
      </c>
      <c r="C148" s="154" t="s">
        <v>677</v>
      </c>
      <c r="D148" s="159" t="s">
        <v>192</v>
      </c>
      <c r="E148" s="154">
        <v>200</v>
      </c>
      <c r="F148" s="156">
        <v>272040</v>
      </c>
    </row>
    <row r="149" spans="1:6" ht="76.5">
      <c r="A149" s="32" t="s">
        <v>193</v>
      </c>
      <c r="B149" s="173" t="s">
        <v>646</v>
      </c>
      <c r="C149" s="173" t="s">
        <v>677</v>
      </c>
      <c r="D149" s="174" t="s">
        <v>152</v>
      </c>
      <c r="E149" s="173"/>
      <c r="F149" s="152">
        <f>F150</f>
        <v>1157593.06</v>
      </c>
    </row>
    <row r="150" spans="1:6" ht="63.75">
      <c r="A150" s="25" t="s">
        <v>673</v>
      </c>
      <c r="B150" s="173" t="s">
        <v>646</v>
      </c>
      <c r="C150" s="173" t="s">
        <v>677</v>
      </c>
      <c r="D150" s="175" t="s">
        <v>194</v>
      </c>
      <c r="E150" s="173"/>
      <c r="F150" s="152">
        <f>F151+F153</f>
        <v>1157593.06</v>
      </c>
    </row>
    <row r="151" spans="1:6" ht="38.25">
      <c r="A151" s="28" t="s">
        <v>723</v>
      </c>
      <c r="B151" s="173" t="s">
        <v>646</v>
      </c>
      <c r="C151" s="173" t="s">
        <v>677</v>
      </c>
      <c r="D151" s="159" t="s">
        <v>596</v>
      </c>
      <c r="E151" s="173"/>
      <c r="F151" s="152">
        <f>F152</f>
        <v>934593.06</v>
      </c>
    </row>
    <row r="152" spans="1:7" ht="12.75">
      <c r="A152" s="169" t="s">
        <v>253</v>
      </c>
      <c r="B152" s="173" t="s">
        <v>646</v>
      </c>
      <c r="C152" s="173" t="s">
        <v>677</v>
      </c>
      <c r="D152" s="175" t="s">
        <v>596</v>
      </c>
      <c r="E152" s="173">
        <v>800</v>
      </c>
      <c r="F152" s="152">
        <v>934593.06</v>
      </c>
      <c r="G152" s="302"/>
    </row>
    <row r="153" spans="1:7" ht="25.5">
      <c r="A153" s="153" t="s">
        <v>672</v>
      </c>
      <c r="B153" s="173" t="s">
        <v>646</v>
      </c>
      <c r="C153" s="173" t="s">
        <v>677</v>
      </c>
      <c r="D153" s="175" t="s">
        <v>671</v>
      </c>
      <c r="E153" s="173"/>
      <c r="F153" s="209">
        <v>223000</v>
      </c>
      <c r="G153" s="302"/>
    </row>
    <row r="154" spans="1:7" ht="12.75">
      <c r="A154" s="169" t="s">
        <v>253</v>
      </c>
      <c r="B154" s="173" t="s">
        <v>646</v>
      </c>
      <c r="C154" s="173" t="s">
        <v>677</v>
      </c>
      <c r="D154" s="175" t="s">
        <v>671</v>
      </c>
      <c r="E154" s="173">
        <v>200</v>
      </c>
      <c r="F154" s="209">
        <v>223000</v>
      </c>
      <c r="G154" s="302"/>
    </row>
    <row r="155" spans="1:6" ht="12.75">
      <c r="A155" s="172" t="s">
        <v>372</v>
      </c>
      <c r="B155" s="177" t="s">
        <v>646</v>
      </c>
      <c r="C155" s="177">
        <v>12</v>
      </c>
      <c r="D155" s="174"/>
      <c r="E155" s="177"/>
      <c r="F155" s="209">
        <f>F156</f>
        <v>320000</v>
      </c>
    </row>
    <row r="156" spans="1:6" ht="25.5">
      <c r="A156" s="161" t="s">
        <v>39</v>
      </c>
      <c r="B156" s="173" t="s">
        <v>646</v>
      </c>
      <c r="C156" s="173">
        <v>12</v>
      </c>
      <c r="D156" s="159" t="s">
        <v>135</v>
      </c>
      <c r="E156" s="173"/>
      <c r="F156" s="209">
        <f>F157</f>
        <v>320000</v>
      </c>
    </row>
    <row r="157" spans="1:6" ht="25.5">
      <c r="A157" s="162" t="s">
        <v>40</v>
      </c>
      <c r="B157" s="173" t="s">
        <v>646</v>
      </c>
      <c r="C157" s="173">
        <v>12</v>
      </c>
      <c r="D157" s="163" t="s">
        <v>137</v>
      </c>
      <c r="E157" s="173"/>
      <c r="F157" s="209">
        <f>F158</f>
        <v>320000</v>
      </c>
    </row>
    <row r="158" spans="1:6" ht="25.5">
      <c r="A158" s="153" t="s">
        <v>43</v>
      </c>
      <c r="B158" s="173" t="s">
        <v>646</v>
      </c>
      <c r="C158" s="173">
        <v>12</v>
      </c>
      <c r="D158" s="159" t="s">
        <v>42</v>
      </c>
      <c r="E158" s="173"/>
      <c r="F158" s="209">
        <f>F159</f>
        <v>320000</v>
      </c>
    </row>
    <row r="159" spans="1:6" ht="25.5">
      <c r="A159" s="165" t="s">
        <v>184</v>
      </c>
      <c r="B159" s="179" t="s">
        <v>646</v>
      </c>
      <c r="C159" s="179">
        <v>12</v>
      </c>
      <c r="D159" s="167" t="s">
        <v>42</v>
      </c>
      <c r="E159" s="179">
        <v>200</v>
      </c>
      <c r="F159" s="178">
        <v>320000</v>
      </c>
    </row>
    <row r="160" spans="1:6" ht="12.75">
      <c r="A160" s="146" t="s">
        <v>360</v>
      </c>
      <c r="B160" s="147" t="s">
        <v>59</v>
      </c>
      <c r="C160" s="148" t="s">
        <v>214</v>
      </c>
      <c r="D160" s="147" t="s">
        <v>263</v>
      </c>
      <c r="E160" s="147" t="s">
        <v>263</v>
      </c>
      <c r="F160" s="149">
        <f>F161+F167+F173</f>
        <v>27488825.9</v>
      </c>
    </row>
    <row r="161" spans="1:6" ht="12.75">
      <c r="A161" s="150" t="s">
        <v>191</v>
      </c>
      <c r="B161" s="151" t="s">
        <v>59</v>
      </c>
      <c r="C161" s="180" t="s">
        <v>643</v>
      </c>
      <c r="D161" s="181"/>
      <c r="E161" s="181"/>
      <c r="F161" s="152">
        <f>F162</f>
        <v>853069</v>
      </c>
    </row>
    <row r="162" spans="1:6" ht="54.75" customHeight="1">
      <c r="A162" s="161" t="s">
        <v>182</v>
      </c>
      <c r="B162" s="154" t="s">
        <v>59</v>
      </c>
      <c r="C162" s="182" t="s">
        <v>643</v>
      </c>
      <c r="D162" s="159" t="s">
        <v>154</v>
      </c>
      <c r="E162" s="181"/>
      <c r="F162" s="152">
        <f>F163</f>
        <v>853069</v>
      </c>
    </row>
    <row r="163" spans="1:6" ht="76.5">
      <c r="A163" s="162" t="s">
        <v>183</v>
      </c>
      <c r="B163" s="154" t="s">
        <v>59</v>
      </c>
      <c r="C163" s="182" t="s">
        <v>643</v>
      </c>
      <c r="D163" s="163" t="s">
        <v>658</v>
      </c>
      <c r="E163" s="181"/>
      <c r="F163" s="152">
        <f>F164</f>
        <v>853069</v>
      </c>
    </row>
    <row r="164" spans="1:6" ht="25.5">
      <c r="A164" s="34" t="s">
        <v>190</v>
      </c>
      <c r="B164" s="154" t="s">
        <v>59</v>
      </c>
      <c r="C164" s="182" t="s">
        <v>643</v>
      </c>
      <c r="D164" s="159" t="s">
        <v>227</v>
      </c>
      <c r="E164" s="181"/>
      <c r="F164" s="152">
        <f>F165</f>
        <v>853069</v>
      </c>
    </row>
    <row r="165" spans="1:6" ht="24">
      <c r="A165" s="31" t="s">
        <v>226</v>
      </c>
      <c r="B165" s="154" t="s">
        <v>59</v>
      </c>
      <c r="C165" s="182" t="s">
        <v>643</v>
      </c>
      <c r="D165" s="159" t="s">
        <v>225</v>
      </c>
      <c r="E165" s="181"/>
      <c r="F165" s="152">
        <f>SUM(F166:F166)</f>
        <v>853069</v>
      </c>
    </row>
    <row r="166" spans="1:6" ht="25.5">
      <c r="A166" s="153" t="s">
        <v>184</v>
      </c>
      <c r="B166" s="154" t="s">
        <v>59</v>
      </c>
      <c r="C166" s="182" t="s">
        <v>643</v>
      </c>
      <c r="D166" s="159" t="s">
        <v>225</v>
      </c>
      <c r="E166" s="154">
        <v>200</v>
      </c>
      <c r="F166" s="156">
        <f>675000+120000+58069</f>
        <v>853069</v>
      </c>
    </row>
    <row r="167" spans="1:6" ht="12.75">
      <c r="A167" s="162" t="s">
        <v>168</v>
      </c>
      <c r="B167" s="151" t="s">
        <v>59</v>
      </c>
      <c r="C167" s="180" t="s">
        <v>645</v>
      </c>
      <c r="D167" s="181"/>
      <c r="E167" s="181"/>
      <c r="F167" s="152">
        <f>F168</f>
        <v>1223765</v>
      </c>
    </row>
    <row r="168" spans="1:6" ht="51">
      <c r="A168" s="161" t="s">
        <v>182</v>
      </c>
      <c r="B168" s="154" t="s">
        <v>59</v>
      </c>
      <c r="C168" s="182" t="s">
        <v>645</v>
      </c>
      <c r="D168" s="159" t="s">
        <v>154</v>
      </c>
      <c r="E168" s="181"/>
      <c r="F168" s="152">
        <f>F169</f>
        <v>1223765</v>
      </c>
    </row>
    <row r="169" spans="1:6" ht="76.5">
      <c r="A169" s="162" t="s">
        <v>183</v>
      </c>
      <c r="B169" s="154" t="s">
        <v>59</v>
      </c>
      <c r="C169" s="182" t="s">
        <v>645</v>
      </c>
      <c r="D169" s="163" t="s">
        <v>658</v>
      </c>
      <c r="E169" s="181"/>
      <c r="F169" s="152">
        <f>F170</f>
        <v>1223765</v>
      </c>
    </row>
    <row r="170" spans="1:6" ht="25.5">
      <c r="A170" s="24" t="s">
        <v>620</v>
      </c>
      <c r="B170" s="154" t="s">
        <v>59</v>
      </c>
      <c r="C170" s="182" t="s">
        <v>645</v>
      </c>
      <c r="D170" s="159" t="s">
        <v>624</v>
      </c>
      <c r="E170" s="181"/>
      <c r="F170" s="152">
        <f>F171</f>
        <v>1223765</v>
      </c>
    </row>
    <row r="171" spans="1:6" ht="12.75">
      <c r="A171" s="153" t="s">
        <v>169</v>
      </c>
      <c r="B171" s="154" t="s">
        <v>59</v>
      </c>
      <c r="C171" s="182" t="s">
        <v>645</v>
      </c>
      <c r="D171" s="159" t="s">
        <v>623</v>
      </c>
      <c r="E171" s="181"/>
      <c r="F171" s="152">
        <f>F172</f>
        <v>1223765</v>
      </c>
    </row>
    <row r="172" spans="1:6" ht="25.5">
      <c r="A172" s="153" t="s">
        <v>184</v>
      </c>
      <c r="B172" s="154" t="s">
        <v>59</v>
      </c>
      <c r="C172" s="182" t="s">
        <v>645</v>
      </c>
      <c r="D172" s="159" t="s">
        <v>623</v>
      </c>
      <c r="E172" s="154">
        <v>200</v>
      </c>
      <c r="F172" s="156">
        <f>1164000+59765</f>
        <v>1223765</v>
      </c>
    </row>
    <row r="173" spans="1:6" ht="12.75">
      <c r="A173" s="150" t="s">
        <v>662</v>
      </c>
      <c r="B173" s="151" t="s">
        <v>59</v>
      </c>
      <c r="C173" s="151" t="s">
        <v>676</v>
      </c>
      <c r="D173" s="151" t="s">
        <v>263</v>
      </c>
      <c r="E173" s="151" t="s">
        <v>263</v>
      </c>
      <c r="F173" s="152">
        <f>F174+F185</f>
        <v>25411991.9</v>
      </c>
    </row>
    <row r="174" spans="1:6" ht="55.5" customHeight="1">
      <c r="A174" s="161" t="s">
        <v>182</v>
      </c>
      <c r="B174" s="154" t="s">
        <v>59</v>
      </c>
      <c r="C174" s="154" t="s">
        <v>676</v>
      </c>
      <c r="D174" s="159" t="s">
        <v>154</v>
      </c>
      <c r="E174" s="154" t="s">
        <v>263</v>
      </c>
      <c r="F174" s="152">
        <f>F175</f>
        <v>15799878.9</v>
      </c>
    </row>
    <row r="175" spans="1:6" ht="76.5">
      <c r="A175" s="162" t="s">
        <v>183</v>
      </c>
      <c r="B175" s="154" t="s">
        <v>59</v>
      </c>
      <c r="C175" s="154" t="s">
        <v>676</v>
      </c>
      <c r="D175" s="163" t="s">
        <v>658</v>
      </c>
      <c r="E175" s="155" t="s">
        <v>263</v>
      </c>
      <c r="F175" s="152">
        <f>F176+F180</f>
        <v>15799878.9</v>
      </c>
    </row>
    <row r="176" spans="1:6" ht="25.5">
      <c r="A176" s="34" t="s">
        <v>622</v>
      </c>
      <c r="B176" s="154" t="s">
        <v>59</v>
      </c>
      <c r="C176" s="154" t="s">
        <v>676</v>
      </c>
      <c r="D176" s="159" t="s">
        <v>206</v>
      </c>
      <c r="E176" s="155"/>
      <c r="F176" s="152">
        <f>F177</f>
        <v>10799878.9</v>
      </c>
    </row>
    <row r="177" spans="1:6" ht="12.75">
      <c r="A177" s="28" t="s">
        <v>614</v>
      </c>
      <c r="B177" s="154" t="s">
        <v>59</v>
      </c>
      <c r="C177" s="154" t="s">
        <v>676</v>
      </c>
      <c r="D177" s="159" t="s">
        <v>207</v>
      </c>
      <c r="E177" s="154" t="s">
        <v>263</v>
      </c>
      <c r="F177" s="152">
        <f>SUM(F178:F179)</f>
        <v>10799878.9</v>
      </c>
    </row>
    <row r="178" spans="1:6" ht="25.5">
      <c r="A178" s="153" t="s">
        <v>184</v>
      </c>
      <c r="B178" s="154" t="s">
        <v>59</v>
      </c>
      <c r="C178" s="154" t="s">
        <v>676</v>
      </c>
      <c r="D178" s="159" t="s">
        <v>207</v>
      </c>
      <c r="E178" s="154">
        <v>200</v>
      </c>
      <c r="F178" s="156">
        <f>1361250+437265+239417.9-9000</f>
        <v>2028932.9</v>
      </c>
    </row>
    <row r="179" spans="1:6" ht="12.75">
      <c r="A179" s="153" t="s">
        <v>253</v>
      </c>
      <c r="B179" s="154" t="s">
        <v>59</v>
      </c>
      <c r="C179" s="154" t="s">
        <v>676</v>
      </c>
      <c r="D179" s="159" t="s">
        <v>207</v>
      </c>
      <c r="E179" s="154">
        <v>800</v>
      </c>
      <c r="F179" s="156">
        <f>4610675+223271+1800000+2137000</f>
        <v>8770946</v>
      </c>
    </row>
    <row r="180" spans="1:6" ht="29.25" customHeight="1">
      <c r="A180" s="34" t="s">
        <v>548</v>
      </c>
      <c r="B180" s="154" t="s">
        <v>59</v>
      </c>
      <c r="C180" s="154" t="s">
        <v>676</v>
      </c>
      <c r="D180" s="159" t="s">
        <v>547</v>
      </c>
      <c r="E180" s="154"/>
      <c r="F180" s="156">
        <v>5000000</v>
      </c>
    </row>
    <row r="181" spans="1:6" ht="19.5" customHeight="1">
      <c r="A181" s="112" t="s">
        <v>549</v>
      </c>
      <c r="B181" s="154" t="s">
        <v>59</v>
      </c>
      <c r="C181" s="154" t="s">
        <v>676</v>
      </c>
      <c r="D181" s="159" t="s">
        <v>550</v>
      </c>
      <c r="E181" s="154"/>
      <c r="F181" s="156">
        <v>4950000</v>
      </c>
    </row>
    <row r="182" spans="1:6" ht="29.25" customHeight="1">
      <c r="A182" s="153" t="s">
        <v>184</v>
      </c>
      <c r="B182" s="154" t="s">
        <v>59</v>
      </c>
      <c r="C182" s="154" t="s">
        <v>676</v>
      </c>
      <c r="D182" s="159" t="s">
        <v>550</v>
      </c>
      <c r="E182" s="154">
        <v>200</v>
      </c>
      <c r="F182" s="156">
        <v>4950000</v>
      </c>
    </row>
    <row r="183" spans="1:6" ht="29.25" customHeight="1">
      <c r="A183" s="109" t="s">
        <v>551</v>
      </c>
      <c r="B183" s="154" t="s">
        <v>59</v>
      </c>
      <c r="C183" s="154" t="s">
        <v>676</v>
      </c>
      <c r="D183" s="159" t="s">
        <v>552</v>
      </c>
      <c r="E183" s="154"/>
      <c r="F183" s="156">
        <v>50000</v>
      </c>
    </row>
    <row r="184" spans="1:6" ht="25.5">
      <c r="A184" s="153" t="s">
        <v>184</v>
      </c>
      <c r="B184" s="154" t="s">
        <v>59</v>
      </c>
      <c r="C184" s="154" t="s">
        <v>676</v>
      </c>
      <c r="D184" s="159" t="s">
        <v>552</v>
      </c>
      <c r="E184" s="154">
        <v>200</v>
      </c>
      <c r="F184" s="156">
        <v>50000</v>
      </c>
    </row>
    <row r="185" spans="1:6" ht="51">
      <c r="A185" s="161" t="s">
        <v>177</v>
      </c>
      <c r="B185" s="154" t="s">
        <v>59</v>
      </c>
      <c r="C185" s="154" t="s">
        <v>676</v>
      </c>
      <c r="D185" s="159" t="s">
        <v>44</v>
      </c>
      <c r="E185" s="154"/>
      <c r="F185" s="152">
        <f>F186</f>
        <v>9612113</v>
      </c>
    </row>
    <row r="186" spans="1:6" ht="25.5">
      <c r="A186" s="34" t="s">
        <v>734</v>
      </c>
      <c r="B186" s="154" t="s">
        <v>59</v>
      </c>
      <c r="C186" s="154" t="s">
        <v>676</v>
      </c>
      <c r="D186" s="159" t="s">
        <v>733</v>
      </c>
      <c r="E186" s="154"/>
      <c r="F186" s="152">
        <f>F187</f>
        <v>9612113</v>
      </c>
    </row>
    <row r="187" spans="1:6" ht="25.5">
      <c r="A187" s="104" t="s">
        <v>736</v>
      </c>
      <c r="B187" s="154" t="s">
        <v>59</v>
      </c>
      <c r="C187" s="154" t="s">
        <v>676</v>
      </c>
      <c r="D187" s="159" t="s">
        <v>735</v>
      </c>
      <c r="E187" s="154"/>
      <c r="F187" s="152">
        <f>F188</f>
        <v>9612113</v>
      </c>
    </row>
    <row r="188" spans="1:6" ht="25.5">
      <c r="A188" s="153" t="s">
        <v>184</v>
      </c>
      <c r="B188" s="154" t="s">
        <v>59</v>
      </c>
      <c r="C188" s="154" t="s">
        <v>676</v>
      </c>
      <c r="D188" s="159" t="s">
        <v>735</v>
      </c>
      <c r="E188" s="154">
        <v>200</v>
      </c>
      <c r="F188" s="156">
        <f>950000+8904531-242418</f>
        <v>9612113</v>
      </c>
    </row>
    <row r="189" spans="1:6" ht="12.75">
      <c r="A189" s="18" t="s">
        <v>20</v>
      </c>
      <c r="B189" s="182" t="s">
        <v>647</v>
      </c>
      <c r="C189" s="206"/>
      <c r="D189" s="207"/>
      <c r="E189" s="206"/>
      <c r="F189" s="178">
        <v>614168.1</v>
      </c>
    </row>
    <row r="190" spans="1:6" ht="12.75">
      <c r="A190" s="303" t="s">
        <v>21</v>
      </c>
      <c r="B190" s="304" t="s">
        <v>647</v>
      </c>
      <c r="C190" s="304" t="s">
        <v>59</v>
      </c>
      <c r="D190" s="207"/>
      <c r="E190" s="206"/>
      <c r="F190" s="178">
        <v>614168.1</v>
      </c>
    </row>
    <row r="191" spans="1:6" ht="51">
      <c r="A191" s="161" t="s">
        <v>182</v>
      </c>
      <c r="B191" s="304" t="s">
        <v>647</v>
      </c>
      <c r="C191" s="304" t="s">
        <v>59</v>
      </c>
      <c r="D191" s="159" t="s">
        <v>154</v>
      </c>
      <c r="E191" s="206"/>
      <c r="F191" s="178">
        <v>614168.1</v>
      </c>
    </row>
    <row r="192" spans="1:6" ht="38.25">
      <c r="A192" s="162" t="s">
        <v>25</v>
      </c>
      <c r="B192" s="304" t="s">
        <v>647</v>
      </c>
      <c r="C192" s="304" t="s">
        <v>59</v>
      </c>
      <c r="D192" s="163" t="s">
        <v>22</v>
      </c>
      <c r="E192" s="206"/>
      <c r="F192" s="178">
        <v>614168.1</v>
      </c>
    </row>
    <row r="193" spans="1:6" ht="25.5">
      <c r="A193" s="34" t="s">
        <v>23</v>
      </c>
      <c r="B193" s="304" t="s">
        <v>647</v>
      </c>
      <c r="C193" s="304" t="s">
        <v>59</v>
      </c>
      <c r="D193" s="159" t="s">
        <v>24</v>
      </c>
      <c r="E193" s="206"/>
      <c r="F193" s="178">
        <v>614168.1</v>
      </c>
    </row>
    <row r="194" spans="1:6" ht="25.5">
      <c r="A194" s="153" t="s">
        <v>184</v>
      </c>
      <c r="B194" s="304" t="s">
        <v>647</v>
      </c>
      <c r="C194" s="304" t="s">
        <v>59</v>
      </c>
      <c r="D194" s="159" t="s">
        <v>24</v>
      </c>
      <c r="E194" s="206">
        <v>200</v>
      </c>
      <c r="F194" s="178">
        <v>614168.1</v>
      </c>
    </row>
    <row r="195" spans="1:6" ht="12.75">
      <c r="A195" s="146" t="s">
        <v>663</v>
      </c>
      <c r="B195" s="147" t="s">
        <v>60</v>
      </c>
      <c r="C195" s="148" t="s">
        <v>214</v>
      </c>
      <c r="D195" s="147" t="s">
        <v>263</v>
      </c>
      <c r="E195" s="147" t="s">
        <v>263</v>
      </c>
      <c r="F195" s="183">
        <f>F196+F214+F231+F239+F254</f>
        <v>239140230.04000002</v>
      </c>
    </row>
    <row r="196" spans="1:6" ht="12.75">
      <c r="A196" s="150" t="s">
        <v>664</v>
      </c>
      <c r="B196" s="151" t="s">
        <v>60</v>
      </c>
      <c r="C196" s="151" t="s">
        <v>643</v>
      </c>
      <c r="D196" s="151" t="s">
        <v>263</v>
      </c>
      <c r="E196" s="151" t="s">
        <v>263</v>
      </c>
      <c r="F196" s="184">
        <f>F197</f>
        <v>93051750.48</v>
      </c>
    </row>
    <row r="197" spans="1:6" ht="38.25">
      <c r="A197" s="161" t="s">
        <v>557</v>
      </c>
      <c r="B197" s="154" t="s">
        <v>60</v>
      </c>
      <c r="C197" s="154" t="s">
        <v>643</v>
      </c>
      <c r="D197" s="159" t="s">
        <v>659</v>
      </c>
      <c r="E197" s="154" t="s">
        <v>263</v>
      </c>
      <c r="F197" s="152">
        <f>F198</f>
        <v>93051750.48</v>
      </c>
    </row>
    <row r="198" spans="1:6" ht="38.25">
      <c r="A198" s="162" t="s">
        <v>558</v>
      </c>
      <c r="B198" s="154" t="s">
        <v>60</v>
      </c>
      <c r="C198" s="154" t="s">
        <v>643</v>
      </c>
      <c r="D198" s="163" t="s">
        <v>660</v>
      </c>
      <c r="E198" s="155" t="s">
        <v>263</v>
      </c>
      <c r="F198" s="152">
        <f>F199+F207</f>
        <v>93051750.48</v>
      </c>
    </row>
    <row r="199" spans="1:6" ht="25.5">
      <c r="A199" s="24" t="s">
        <v>208</v>
      </c>
      <c r="B199" s="154" t="s">
        <v>60</v>
      </c>
      <c r="C199" s="154" t="s">
        <v>643</v>
      </c>
      <c r="D199" s="159" t="s">
        <v>661</v>
      </c>
      <c r="E199" s="155"/>
      <c r="F199" s="152">
        <f>F200+F203</f>
        <v>89045419.48</v>
      </c>
    </row>
    <row r="200" spans="1:6" ht="93.75" customHeight="1">
      <c r="A200" s="14" t="s">
        <v>307</v>
      </c>
      <c r="B200" s="154" t="s">
        <v>60</v>
      </c>
      <c r="C200" s="154" t="s">
        <v>643</v>
      </c>
      <c r="D200" s="159" t="s">
        <v>308</v>
      </c>
      <c r="E200" s="154" t="s">
        <v>263</v>
      </c>
      <c r="F200" s="152">
        <f>SUM(F201:F202)</f>
        <v>48099805</v>
      </c>
    </row>
    <row r="201" spans="1:6" ht="51">
      <c r="A201" s="153" t="s">
        <v>268</v>
      </c>
      <c r="B201" s="154" t="s">
        <v>60</v>
      </c>
      <c r="C201" s="154" t="s">
        <v>643</v>
      </c>
      <c r="D201" s="159" t="s">
        <v>308</v>
      </c>
      <c r="E201" s="154" t="s">
        <v>592</v>
      </c>
      <c r="F201" s="156">
        <f>43793940+1496974-660+660+2322911</f>
        <v>47613825</v>
      </c>
    </row>
    <row r="202" spans="1:6" ht="25.5">
      <c r="A202" s="153" t="s">
        <v>184</v>
      </c>
      <c r="B202" s="154" t="s">
        <v>60</v>
      </c>
      <c r="C202" s="154" t="s">
        <v>643</v>
      </c>
      <c r="D202" s="159" t="s">
        <v>308</v>
      </c>
      <c r="E202" s="154" t="s">
        <v>250</v>
      </c>
      <c r="F202" s="156">
        <v>485980</v>
      </c>
    </row>
    <row r="203" spans="1:6" ht="25.5">
      <c r="A203" s="155" t="s">
        <v>283</v>
      </c>
      <c r="B203" s="154" t="s">
        <v>60</v>
      </c>
      <c r="C203" s="154" t="s">
        <v>643</v>
      </c>
      <c r="D203" s="159" t="s">
        <v>309</v>
      </c>
      <c r="E203" s="154"/>
      <c r="F203" s="152">
        <f>SUM(F204:F206)</f>
        <v>40945614.480000004</v>
      </c>
    </row>
    <row r="204" spans="1:6" ht="51">
      <c r="A204" s="153" t="s">
        <v>268</v>
      </c>
      <c r="B204" s="154" t="s">
        <v>60</v>
      </c>
      <c r="C204" s="154" t="s">
        <v>643</v>
      </c>
      <c r="D204" s="159" t="s">
        <v>309</v>
      </c>
      <c r="E204" s="154">
        <v>100</v>
      </c>
      <c r="F204" s="156">
        <f>14489809+225515</f>
        <v>14715324</v>
      </c>
    </row>
    <row r="205" spans="1:6" ht="25.5">
      <c r="A205" s="153" t="s">
        <v>184</v>
      </c>
      <c r="B205" s="154" t="s">
        <v>60</v>
      </c>
      <c r="C205" s="154" t="s">
        <v>643</v>
      </c>
      <c r="D205" s="159" t="s">
        <v>309</v>
      </c>
      <c r="E205" s="154">
        <v>200</v>
      </c>
      <c r="F205" s="156">
        <f>27206593.35-3292702.87</f>
        <v>23913890.48</v>
      </c>
    </row>
    <row r="206" spans="1:6" ht="12.75">
      <c r="A206" s="153" t="s">
        <v>253</v>
      </c>
      <c r="B206" s="154" t="s">
        <v>60</v>
      </c>
      <c r="C206" s="154" t="s">
        <v>643</v>
      </c>
      <c r="D206" s="159" t="s">
        <v>309</v>
      </c>
      <c r="E206" s="154">
        <v>800</v>
      </c>
      <c r="F206" s="156">
        <v>2316400</v>
      </c>
    </row>
    <row r="207" spans="1:6" ht="25.5">
      <c r="A207" s="34" t="s">
        <v>508</v>
      </c>
      <c r="B207" s="173" t="s">
        <v>60</v>
      </c>
      <c r="C207" s="173" t="s">
        <v>643</v>
      </c>
      <c r="D207" s="175" t="s">
        <v>358</v>
      </c>
      <c r="E207" s="154"/>
      <c r="F207" s="156">
        <f>F208+F210+F212</f>
        <v>4006331</v>
      </c>
    </row>
    <row r="208" spans="1:6" ht="32.25" customHeight="1">
      <c r="A208" s="101" t="s">
        <v>116</v>
      </c>
      <c r="B208" s="154" t="s">
        <v>60</v>
      </c>
      <c r="C208" s="154" t="s">
        <v>643</v>
      </c>
      <c r="D208" s="159" t="s">
        <v>171</v>
      </c>
      <c r="E208" s="154"/>
      <c r="F208" s="156">
        <f>F209</f>
        <v>2190481</v>
      </c>
    </row>
    <row r="209" spans="1:6" ht="25.5">
      <c r="A209" s="153" t="s">
        <v>184</v>
      </c>
      <c r="B209" s="154" t="s">
        <v>60</v>
      </c>
      <c r="C209" s="154" t="s">
        <v>643</v>
      </c>
      <c r="D209" s="159" t="s">
        <v>171</v>
      </c>
      <c r="E209" s="154">
        <v>200</v>
      </c>
      <c r="F209" s="156">
        <f>219048+1971433</f>
        <v>2190481</v>
      </c>
    </row>
    <row r="210" spans="1:6" ht="25.5">
      <c r="A210" s="305" t="s">
        <v>433</v>
      </c>
      <c r="B210" s="154" t="s">
        <v>60</v>
      </c>
      <c r="C210" s="154" t="s">
        <v>643</v>
      </c>
      <c r="D210" s="159" t="s">
        <v>432</v>
      </c>
      <c r="E210" s="154"/>
      <c r="F210" s="156">
        <f>F211</f>
        <v>1180303</v>
      </c>
    </row>
    <row r="211" spans="1:6" ht="25.5">
      <c r="A211" s="153" t="s">
        <v>184</v>
      </c>
      <c r="B211" s="154" t="s">
        <v>60</v>
      </c>
      <c r="C211" s="154" t="s">
        <v>643</v>
      </c>
      <c r="D211" s="159" t="s">
        <v>432</v>
      </c>
      <c r="E211" s="154">
        <v>200</v>
      </c>
      <c r="F211" s="156">
        <v>1180303</v>
      </c>
    </row>
    <row r="212" spans="1:6" ht="25.5">
      <c r="A212" s="33" t="s">
        <v>601</v>
      </c>
      <c r="B212" s="154" t="s">
        <v>60</v>
      </c>
      <c r="C212" s="154" t="s">
        <v>643</v>
      </c>
      <c r="D212" s="159" t="s">
        <v>336</v>
      </c>
      <c r="E212" s="154"/>
      <c r="F212" s="156">
        <f>F213</f>
        <v>635547</v>
      </c>
    </row>
    <row r="213" spans="1:6" ht="25.5">
      <c r="A213" s="153" t="s">
        <v>184</v>
      </c>
      <c r="B213" s="154" t="s">
        <v>60</v>
      </c>
      <c r="C213" s="154" t="s">
        <v>643</v>
      </c>
      <c r="D213" s="159" t="s">
        <v>336</v>
      </c>
      <c r="E213" s="154">
        <v>200</v>
      </c>
      <c r="F213" s="156">
        <v>635547</v>
      </c>
    </row>
    <row r="214" spans="1:6" ht="12.75">
      <c r="A214" s="150" t="s">
        <v>665</v>
      </c>
      <c r="B214" s="151" t="s">
        <v>60</v>
      </c>
      <c r="C214" s="151" t="s">
        <v>645</v>
      </c>
      <c r="D214" s="151" t="s">
        <v>263</v>
      </c>
      <c r="E214" s="151" t="s">
        <v>263</v>
      </c>
      <c r="F214" s="184">
        <f>F215</f>
        <v>112158776</v>
      </c>
    </row>
    <row r="215" spans="1:6" ht="38.25">
      <c r="A215" s="161" t="s">
        <v>559</v>
      </c>
      <c r="B215" s="154" t="s">
        <v>60</v>
      </c>
      <c r="C215" s="154" t="s">
        <v>645</v>
      </c>
      <c r="D215" s="159" t="s">
        <v>659</v>
      </c>
      <c r="E215" s="154" t="s">
        <v>263</v>
      </c>
      <c r="F215" s="152">
        <f>F216+F227</f>
        <v>112158776</v>
      </c>
    </row>
    <row r="216" spans="1:6" ht="38.25">
      <c r="A216" s="162" t="s">
        <v>558</v>
      </c>
      <c r="B216" s="154" t="s">
        <v>60</v>
      </c>
      <c r="C216" s="154" t="s">
        <v>645</v>
      </c>
      <c r="D216" s="159" t="s">
        <v>660</v>
      </c>
      <c r="E216" s="155" t="s">
        <v>263</v>
      </c>
      <c r="F216" s="152">
        <f>F217+F222</f>
        <v>109258776</v>
      </c>
    </row>
    <row r="217" spans="1:6" ht="25.5">
      <c r="A217" s="24" t="s">
        <v>210</v>
      </c>
      <c r="B217" s="154" t="s">
        <v>60</v>
      </c>
      <c r="C217" s="154" t="s">
        <v>645</v>
      </c>
      <c r="D217" s="159" t="s">
        <v>310</v>
      </c>
      <c r="E217" s="155"/>
      <c r="F217" s="152">
        <f>F218+F220</f>
        <v>106846110</v>
      </c>
    </row>
    <row r="218" spans="1:6" ht="89.25">
      <c r="A218" s="14" t="s">
        <v>519</v>
      </c>
      <c r="B218" s="154" t="s">
        <v>60</v>
      </c>
      <c r="C218" s="154" t="s">
        <v>645</v>
      </c>
      <c r="D218" s="159" t="s">
        <v>311</v>
      </c>
      <c r="E218" s="154" t="s">
        <v>263</v>
      </c>
      <c r="F218" s="152">
        <f>F219</f>
        <v>88283012</v>
      </c>
    </row>
    <row r="219" spans="1:6" ht="25.5">
      <c r="A219" s="153" t="s">
        <v>266</v>
      </c>
      <c r="B219" s="154" t="s">
        <v>60</v>
      </c>
      <c r="C219" s="154" t="s">
        <v>645</v>
      </c>
      <c r="D219" s="159" t="s">
        <v>311</v>
      </c>
      <c r="E219" s="154">
        <v>600</v>
      </c>
      <c r="F219" s="156">
        <f>84124714.13+533.87+4157764</f>
        <v>88283012</v>
      </c>
    </row>
    <row r="220" spans="1:6" ht="25.5">
      <c r="A220" s="155" t="s">
        <v>283</v>
      </c>
      <c r="B220" s="154" t="s">
        <v>60</v>
      </c>
      <c r="C220" s="154" t="s">
        <v>645</v>
      </c>
      <c r="D220" s="159" t="s">
        <v>312</v>
      </c>
      <c r="E220" s="154"/>
      <c r="F220" s="152">
        <f>F221</f>
        <v>18563098</v>
      </c>
    </row>
    <row r="221" spans="1:6" ht="25.5">
      <c r="A221" s="153" t="s">
        <v>266</v>
      </c>
      <c r="B221" s="154" t="s">
        <v>60</v>
      </c>
      <c r="C221" s="154" t="s">
        <v>645</v>
      </c>
      <c r="D221" s="159" t="s">
        <v>312</v>
      </c>
      <c r="E221" s="154">
        <v>600</v>
      </c>
      <c r="F221" s="156">
        <f>12475046+3023000-6000+803455+2267597</f>
        <v>18563098</v>
      </c>
    </row>
    <row r="222" spans="1:6" ht="25.5">
      <c r="A222" s="34" t="s">
        <v>211</v>
      </c>
      <c r="B222" s="173" t="s">
        <v>60</v>
      </c>
      <c r="C222" s="173" t="s">
        <v>645</v>
      </c>
      <c r="D222" s="175" t="s">
        <v>313</v>
      </c>
      <c r="E222" s="154"/>
      <c r="F222" s="156">
        <f>F223+F225</f>
        <v>2412666</v>
      </c>
    </row>
    <row r="223" spans="1:6" ht="63.75">
      <c r="A223" s="109" t="s">
        <v>434</v>
      </c>
      <c r="B223" s="37" t="s">
        <v>60</v>
      </c>
      <c r="C223" s="37" t="s">
        <v>645</v>
      </c>
      <c r="D223" s="30" t="s">
        <v>435</v>
      </c>
      <c r="E223" s="15"/>
      <c r="F223" s="156">
        <f>F224</f>
        <v>223284</v>
      </c>
    </row>
    <row r="224" spans="1:6" ht="25.5">
      <c r="A224" s="35" t="s">
        <v>266</v>
      </c>
      <c r="B224" s="37" t="s">
        <v>60</v>
      </c>
      <c r="C224" s="37" t="s">
        <v>645</v>
      </c>
      <c r="D224" s="30" t="s">
        <v>435</v>
      </c>
      <c r="E224" s="15">
        <v>600</v>
      </c>
      <c r="F224" s="156">
        <v>223284</v>
      </c>
    </row>
    <row r="225" spans="1:6" ht="51">
      <c r="A225" s="33" t="s">
        <v>544</v>
      </c>
      <c r="B225" s="173" t="s">
        <v>60</v>
      </c>
      <c r="C225" s="173" t="s">
        <v>645</v>
      </c>
      <c r="D225" s="175" t="s">
        <v>314</v>
      </c>
      <c r="E225" s="173"/>
      <c r="F225" s="184">
        <f>F226</f>
        <v>2189382</v>
      </c>
    </row>
    <row r="226" spans="1:6" ht="25.5">
      <c r="A226" s="169" t="s">
        <v>266</v>
      </c>
      <c r="B226" s="173" t="s">
        <v>60</v>
      </c>
      <c r="C226" s="173" t="s">
        <v>645</v>
      </c>
      <c r="D226" s="175" t="s">
        <v>314</v>
      </c>
      <c r="E226" s="173">
        <v>600</v>
      </c>
      <c r="F226" s="185">
        <v>2189382</v>
      </c>
    </row>
    <row r="227" spans="1:6" ht="63.75">
      <c r="A227" s="13" t="s">
        <v>92</v>
      </c>
      <c r="B227" s="15" t="s">
        <v>60</v>
      </c>
      <c r="C227" s="15" t="s">
        <v>645</v>
      </c>
      <c r="D227" s="17" t="s">
        <v>93</v>
      </c>
      <c r="E227" s="37"/>
      <c r="F227" s="322">
        <v>2900000</v>
      </c>
    </row>
    <row r="228" spans="1:6" ht="51">
      <c r="A228" s="323" t="s">
        <v>94</v>
      </c>
      <c r="B228" s="15" t="s">
        <v>60</v>
      </c>
      <c r="C228" s="15" t="s">
        <v>645</v>
      </c>
      <c r="D228" s="17" t="s">
        <v>95</v>
      </c>
      <c r="E228" s="37"/>
      <c r="F228" s="322">
        <v>2900000</v>
      </c>
    </row>
    <row r="229" spans="1:6" ht="38.25">
      <c r="A229" s="109" t="s">
        <v>96</v>
      </c>
      <c r="B229" s="15" t="s">
        <v>60</v>
      </c>
      <c r="C229" s="15" t="s">
        <v>645</v>
      </c>
      <c r="D229" s="17" t="s">
        <v>97</v>
      </c>
      <c r="E229" s="37"/>
      <c r="F229" s="322">
        <v>2900000</v>
      </c>
    </row>
    <row r="230" spans="1:6" ht="25.5">
      <c r="A230" s="35" t="s">
        <v>98</v>
      </c>
      <c r="B230" s="15" t="s">
        <v>60</v>
      </c>
      <c r="C230" s="15" t="s">
        <v>645</v>
      </c>
      <c r="D230" s="17" t="s">
        <v>97</v>
      </c>
      <c r="E230" s="37">
        <v>400</v>
      </c>
      <c r="F230" s="322">
        <v>2900000</v>
      </c>
    </row>
    <row r="231" spans="1:6" ht="12.75">
      <c r="A231" s="172" t="s">
        <v>162</v>
      </c>
      <c r="B231" s="173" t="s">
        <v>60</v>
      </c>
      <c r="C231" s="186" t="s">
        <v>676</v>
      </c>
      <c r="D231" s="175"/>
      <c r="E231" s="173"/>
      <c r="F231" s="184">
        <f>F232</f>
        <v>25281286.56</v>
      </c>
    </row>
    <row r="232" spans="1:6" ht="38.25">
      <c r="A232" s="161" t="s">
        <v>557</v>
      </c>
      <c r="B232" s="154" t="s">
        <v>60</v>
      </c>
      <c r="C232" s="182" t="s">
        <v>676</v>
      </c>
      <c r="D232" s="159" t="s">
        <v>659</v>
      </c>
      <c r="E232" s="154"/>
      <c r="F232" s="152">
        <f>F233</f>
        <v>25281286.56</v>
      </c>
    </row>
    <row r="233" spans="1:6" ht="51">
      <c r="A233" s="162" t="s">
        <v>124</v>
      </c>
      <c r="B233" s="154" t="s">
        <v>60</v>
      </c>
      <c r="C233" s="182" t="s">
        <v>676</v>
      </c>
      <c r="D233" s="163" t="s">
        <v>315</v>
      </c>
      <c r="E233" s="155" t="s">
        <v>263</v>
      </c>
      <c r="F233" s="152">
        <f>F234</f>
        <v>25281286.56</v>
      </c>
    </row>
    <row r="234" spans="1:6" ht="38.25">
      <c r="A234" s="24" t="s">
        <v>212</v>
      </c>
      <c r="B234" s="154" t="s">
        <v>60</v>
      </c>
      <c r="C234" s="182" t="s">
        <v>676</v>
      </c>
      <c r="D234" s="159" t="s">
        <v>316</v>
      </c>
      <c r="E234" s="155"/>
      <c r="F234" s="152">
        <f>F235</f>
        <v>25281286.56</v>
      </c>
    </row>
    <row r="235" spans="1:6" ht="25.5">
      <c r="A235" s="155" t="s">
        <v>283</v>
      </c>
      <c r="B235" s="154" t="s">
        <v>60</v>
      </c>
      <c r="C235" s="182" t="s">
        <v>676</v>
      </c>
      <c r="D235" s="159" t="s">
        <v>317</v>
      </c>
      <c r="E235" s="154" t="s">
        <v>263</v>
      </c>
      <c r="F235" s="152">
        <f>SUM(F236:F238)</f>
        <v>25281286.56</v>
      </c>
    </row>
    <row r="236" spans="1:6" ht="51">
      <c r="A236" s="153" t="s">
        <v>268</v>
      </c>
      <c r="B236" s="154" t="s">
        <v>60</v>
      </c>
      <c r="C236" s="182" t="s">
        <v>676</v>
      </c>
      <c r="D236" s="159" t="s">
        <v>317</v>
      </c>
      <c r="E236" s="154">
        <v>100</v>
      </c>
      <c r="F236" s="156">
        <f>23387054-202523</f>
        <v>23184531</v>
      </c>
    </row>
    <row r="237" spans="1:6" ht="25.5">
      <c r="A237" s="153" t="s">
        <v>184</v>
      </c>
      <c r="B237" s="154" t="s">
        <v>60</v>
      </c>
      <c r="C237" s="182" t="s">
        <v>676</v>
      </c>
      <c r="D237" s="159" t="s">
        <v>317</v>
      </c>
      <c r="E237" s="154">
        <v>200</v>
      </c>
      <c r="F237" s="156">
        <f>1246073.76+28000+201223.8</f>
        <v>1475297.56</v>
      </c>
    </row>
    <row r="238" spans="1:6" ht="12.75">
      <c r="A238" s="153" t="s">
        <v>253</v>
      </c>
      <c r="B238" s="154" t="s">
        <v>60</v>
      </c>
      <c r="C238" s="182" t="s">
        <v>676</v>
      </c>
      <c r="D238" s="159" t="s">
        <v>317</v>
      </c>
      <c r="E238" s="154">
        <v>800</v>
      </c>
      <c r="F238" s="156">
        <f>821003+6158-205703</f>
        <v>621458</v>
      </c>
    </row>
    <row r="239" spans="1:6" ht="12.75">
      <c r="A239" s="150" t="s">
        <v>163</v>
      </c>
      <c r="B239" s="151" t="s">
        <v>60</v>
      </c>
      <c r="C239" s="151" t="s">
        <v>60</v>
      </c>
      <c r="D239" s="151" t="s">
        <v>263</v>
      </c>
      <c r="E239" s="151" t="s">
        <v>263</v>
      </c>
      <c r="F239" s="184">
        <f>F240</f>
        <v>1427654</v>
      </c>
    </row>
    <row r="240" spans="1:6" ht="51">
      <c r="A240" s="161" t="s">
        <v>450</v>
      </c>
      <c r="B240" s="154" t="s">
        <v>60</v>
      </c>
      <c r="C240" s="154" t="s">
        <v>60</v>
      </c>
      <c r="D240" s="159" t="s">
        <v>449</v>
      </c>
      <c r="E240" s="154" t="s">
        <v>263</v>
      </c>
      <c r="F240" s="152">
        <f>F241</f>
        <v>1427654</v>
      </c>
    </row>
    <row r="241" spans="1:6" ht="76.5">
      <c r="A241" s="13" t="s">
        <v>621</v>
      </c>
      <c r="B241" s="154" t="s">
        <v>60</v>
      </c>
      <c r="C241" s="154" t="s">
        <v>60</v>
      </c>
      <c r="D241" s="163" t="s">
        <v>306</v>
      </c>
      <c r="E241" s="155" t="s">
        <v>263</v>
      </c>
      <c r="F241" s="152">
        <f>F242+F251</f>
        <v>1427654</v>
      </c>
    </row>
    <row r="242" spans="1:6" ht="25.5">
      <c r="A242" s="27" t="s">
        <v>305</v>
      </c>
      <c r="B242" s="154" t="s">
        <v>60</v>
      </c>
      <c r="C242" s="154" t="s">
        <v>60</v>
      </c>
      <c r="D242" s="159" t="s">
        <v>304</v>
      </c>
      <c r="E242" s="155"/>
      <c r="F242" s="152">
        <f>F243+F245+F248</f>
        <v>1406089</v>
      </c>
    </row>
    <row r="243" spans="1:6" ht="12.75">
      <c r="A243" s="27" t="s">
        <v>303</v>
      </c>
      <c r="B243" s="154" t="s">
        <v>60</v>
      </c>
      <c r="C243" s="154" t="s">
        <v>60</v>
      </c>
      <c r="D243" s="159" t="s">
        <v>302</v>
      </c>
      <c r="E243" s="155"/>
      <c r="F243" s="152">
        <f>F244</f>
        <v>10000</v>
      </c>
    </row>
    <row r="244" spans="1:6" ht="25.5">
      <c r="A244" s="153" t="s">
        <v>266</v>
      </c>
      <c r="B244" s="154" t="s">
        <v>60</v>
      </c>
      <c r="C244" s="154" t="s">
        <v>60</v>
      </c>
      <c r="D244" s="159" t="s">
        <v>302</v>
      </c>
      <c r="E244" s="155">
        <v>600</v>
      </c>
      <c r="F244" s="156">
        <v>10000</v>
      </c>
    </row>
    <row r="245" spans="1:6" ht="12.75">
      <c r="A245" s="305" t="s">
        <v>436</v>
      </c>
      <c r="B245" s="15" t="s">
        <v>60</v>
      </c>
      <c r="C245" s="15" t="s">
        <v>60</v>
      </c>
      <c r="D245" s="17" t="s">
        <v>437</v>
      </c>
      <c r="E245" s="16"/>
      <c r="F245" s="156">
        <f>F246+F247</f>
        <v>500219</v>
      </c>
    </row>
    <row r="246" spans="1:6" ht="12.75">
      <c r="A246" s="14" t="s">
        <v>257</v>
      </c>
      <c r="B246" s="15" t="s">
        <v>60</v>
      </c>
      <c r="C246" s="15" t="s">
        <v>60</v>
      </c>
      <c r="D246" s="17" t="s">
        <v>437</v>
      </c>
      <c r="E246" s="16">
        <v>300</v>
      </c>
      <c r="F246" s="156">
        <v>281983</v>
      </c>
    </row>
    <row r="247" spans="1:6" ht="25.5">
      <c r="A247" s="14" t="s">
        <v>266</v>
      </c>
      <c r="B247" s="15" t="s">
        <v>60</v>
      </c>
      <c r="C247" s="15" t="s">
        <v>60</v>
      </c>
      <c r="D247" s="17" t="s">
        <v>437</v>
      </c>
      <c r="E247" s="16">
        <v>600</v>
      </c>
      <c r="F247" s="156">
        <v>218236</v>
      </c>
    </row>
    <row r="248" spans="1:6" ht="25.5">
      <c r="A248" s="33" t="s">
        <v>284</v>
      </c>
      <c r="B248" s="154" t="s">
        <v>60</v>
      </c>
      <c r="C248" s="154" t="s">
        <v>60</v>
      </c>
      <c r="D248" s="159" t="s">
        <v>285</v>
      </c>
      <c r="E248" s="155"/>
      <c r="F248" s="152">
        <f>SUM(F249:F250)</f>
        <v>895870</v>
      </c>
    </row>
    <row r="249" spans="1:6" ht="12.75">
      <c r="A249" s="153" t="s">
        <v>257</v>
      </c>
      <c r="B249" s="154" t="s">
        <v>60</v>
      </c>
      <c r="C249" s="154" t="s">
        <v>60</v>
      </c>
      <c r="D249" s="159" t="s">
        <v>285</v>
      </c>
      <c r="E249" s="155">
        <v>300</v>
      </c>
      <c r="F249" s="156">
        <v>489326</v>
      </c>
    </row>
    <row r="250" spans="1:6" ht="25.5">
      <c r="A250" s="153" t="s">
        <v>266</v>
      </c>
      <c r="B250" s="154" t="s">
        <v>60</v>
      </c>
      <c r="C250" s="154" t="s">
        <v>60</v>
      </c>
      <c r="D250" s="159" t="s">
        <v>285</v>
      </c>
      <c r="E250" s="155">
        <v>600</v>
      </c>
      <c r="F250" s="156">
        <v>406544</v>
      </c>
    </row>
    <row r="251" spans="1:6" ht="51">
      <c r="A251" s="28" t="s">
        <v>561</v>
      </c>
      <c r="B251" s="173" t="s">
        <v>60</v>
      </c>
      <c r="C251" s="173" t="s">
        <v>60</v>
      </c>
      <c r="D251" s="175" t="s">
        <v>562</v>
      </c>
      <c r="E251" s="187"/>
      <c r="F251" s="184">
        <f>F252</f>
        <v>21565</v>
      </c>
    </row>
    <row r="252" spans="1:6" ht="12.75">
      <c r="A252" s="28" t="s">
        <v>564</v>
      </c>
      <c r="B252" s="173" t="s">
        <v>60</v>
      </c>
      <c r="C252" s="173" t="s">
        <v>60</v>
      </c>
      <c r="D252" s="175" t="s">
        <v>563</v>
      </c>
      <c r="E252" s="187"/>
      <c r="F252" s="184">
        <f>F253</f>
        <v>21565</v>
      </c>
    </row>
    <row r="253" spans="1:6" ht="25.5">
      <c r="A253" s="169" t="s">
        <v>184</v>
      </c>
      <c r="B253" s="173" t="s">
        <v>60</v>
      </c>
      <c r="C253" s="173" t="s">
        <v>60</v>
      </c>
      <c r="D253" s="175" t="s">
        <v>563</v>
      </c>
      <c r="E253" s="187">
        <v>200</v>
      </c>
      <c r="F253" s="185">
        <f>10000+11565</f>
        <v>21565</v>
      </c>
    </row>
    <row r="254" spans="1:6" ht="12.75">
      <c r="A254" s="160" t="s">
        <v>666</v>
      </c>
      <c r="B254" s="177" t="s">
        <v>60</v>
      </c>
      <c r="C254" s="177" t="s">
        <v>677</v>
      </c>
      <c r="D254" s="177" t="s">
        <v>263</v>
      </c>
      <c r="E254" s="177" t="s">
        <v>263</v>
      </c>
      <c r="F254" s="184">
        <f>F255</f>
        <v>7220763</v>
      </c>
    </row>
    <row r="255" spans="1:6" ht="38.25">
      <c r="A255" s="161" t="s">
        <v>559</v>
      </c>
      <c r="B255" s="154" t="s">
        <v>60</v>
      </c>
      <c r="C255" s="154" t="s">
        <v>677</v>
      </c>
      <c r="D255" s="159" t="s">
        <v>659</v>
      </c>
      <c r="E255" s="154" t="s">
        <v>263</v>
      </c>
      <c r="F255" s="152">
        <f>F256+F269</f>
        <v>7220763</v>
      </c>
    </row>
    <row r="256" spans="1:6" ht="51">
      <c r="A256" s="162" t="s">
        <v>125</v>
      </c>
      <c r="B256" s="154" t="s">
        <v>60</v>
      </c>
      <c r="C256" s="154" t="s">
        <v>677</v>
      </c>
      <c r="D256" s="159" t="s">
        <v>318</v>
      </c>
      <c r="E256" s="155" t="s">
        <v>263</v>
      </c>
      <c r="F256" s="152">
        <f>F257+F260+F265</f>
        <v>7213763</v>
      </c>
    </row>
    <row r="257" spans="1:6" ht="51">
      <c r="A257" s="24" t="s">
        <v>213</v>
      </c>
      <c r="B257" s="154" t="s">
        <v>60</v>
      </c>
      <c r="C257" s="154" t="s">
        <v>677</v>
      </c>
      <c r="D257" s="159" t="s">
        <v>319</v>
      </c>
      <c r="E257" s="155"/>
      <c r="F257" s="152">
        <f>F258</f>
        <v>221676</v>
      </c>
    </row>
    <row r="258" spans="1:6" ht="38.25">
      <c r="A258" s="153" t="s">
        <v>700</v>
      </c>
      <c r="B258" s="154" t="s">
        <v>60</v>
      </c>
      <c r="C258" s="154" t="s">
        <v>677</v>
      </c>
      <c r="D258" s="159" t="s">
        <v>320</v>
      </c>
      <c r="E258" s="154"/>
      <c r="F258" s="152">
        <f>F259</f>
        <v>221676</v>
      </c>
    </row>
    <row r="259" spans="1:6" ht="51">
      <c r="A259" s="153" t="s">
        <v>268</v>
      </c>
      <c r="B259" s="154" t="s">
        <v>60</v>
      </c>
      <c r="C259" s="154" t="s">
        <v>677</v>
      </c>
      <c r="D259" s="159" t="s">
        <v>320</v>
      </c>
      <c r="E259" s="154">
        <v>100</v>
      </c>
      <c r="F259" s="156">
        <v>221676</v>
      </c>
    </row>
    <row r="260" spans="1:6" ht="38.25">
      <c r="A260" s="27" t="s">
        <v>335</v>
      </c>
      <c r="B260" s="154" t="s">
        <v>60</v>
      </c>
      <c r="C260" s="154" t="s">
        <v>677</v>
      </c>
      <c r="D260" s="159" t="s">
        <v>322</v>
      </c>
      <c r="E260" s="154"/>
      <c r="F260" s="152">
        <f>F261</f>
        <v>5676351</v>
      </c>
    </row>
    <row r="261" spans="1:6" ht="25.5">
      <c r="A261" s="155" t="s">
        <v>283</v>
      </c>
      <c r="B261" s="154" t="s">
        <v>60</v>
      </c>
      <c r="C261" s="154" t="s">
        <v>677</v>
      </c>
      <c r="D261" s="159" t="s">
        <v>323</v>
      </c>
      <c r="E261" s="154" t="s">
        <v>263</v>
      </c>
      <c r="F261" s="152">
        <f>SUM(F262:F264)</f>
        <v>5676351</v>
      </c>
    </row>
    <row r="262" spans="1:6" ht="51">
      <c r="A262" s="153" t="s">
        <v>268</v>
      </c>
      <c r="B262" s="154" t="s">
        <v>60</v>
      </c>
      <c r="C262" s="154" t="s">
        <v>677</v>
      </c>
      <c r="D262" s="159" t="s">
        <v>323</v>
      </c>
      <c r="E262" s="154" t="s">
        <v>592</v>
      </c>
      <c r="F262" s="156">
        <f>4318511+198407+181330-600-123913</f>
        <v>4573735</v>
      </c>
    </row>
    <row r="263" spans="1:6" ht="25.5">
      <c r="A263" s="153" t="s">
        <v>184</v>
      </c>
      <c r="B263" s="154" t="s">
        <v>60</v>
      </c>
      <c r="C263" s="154" t="s">
        <v>677</v>
      </c>
      <c r="D263" s="159" t="s">
        <v>323</v>
      </c>
      <c r="E263" s="154" t="s">
        <v>250</v>
      </c>
      <c r="F263" s="156">
        <f>517330+79017+68540+54107+352936</f>
        <v>1071930</v>
      </c>
    </row>
    <row r="264" spans="1:6" ht="12.75">
      <c r="A264" s="153" t="s">
        <v>253</v>
      </c>
      <c r="B264" s="154" t="s">
        <v>60</v>
      </c>
      <c r="C264" s="154" t="s">
        <v>677</v>
      </c>
      <c r="D264" s="159" t="s">
        <v>323</v>
      </c>
      <c r="E264" s="154">
        <v>800</v>
      </c>
      <c r="F264" s="156">
        <f>6000+24384.5+301.5</f>
        <v>30686</v>
      </c>
    </row>
    <row r="265" spans="1:6" ht="38.25">
      <c r="A265" s="155" t="s">
        <v>41</v>
      </c>
      <c r="B265" s="154" t="s">
        <v>60</v>
      </c>
      <c r="C265" s="154" t="s">
        <v>677</v>
      </c>
      <c r="D265" s="159" t="s">
        <v>45</v>
      </c>
      <c r="E265" s="154"/>
      <c r="F265" s="152">
        <f>F266</f>
        <v>1315736</v>
      </c>
    </row>
    <row r="266" spans="1:6" ht="25.5">
      <c r="A266" s="155" t="s">
        <v>613</v>
      </c>
      <c r="B266" s="154" t="s">
        <v>60</v>
      </c>
      <c r="C266" s="154" t="s">
        <v>677</v>
      </c>
      <c r="D266" s="159" t="s">
        <v>46</v>
      </c>
      <c r="E266" s="154"/>
      <c r="F266" s="152">
        <f>SUM(F267:F268)</f>
        <v>1315736</v>
      </c>
    </row>
    <row r="267" spans="1:6" ht="51">
      <c r="A267" s="153" t="s">
        <v>268</v>
      </c>
      <c r="B267" s="154" t="s">
        <v>60</v>
      </c>
      <c r="C267" s="154" t="s">
        <v>677</v>
      </c>
      <c r="D267" s="159" t="s">
        <v>46</v>
      </c>
      <c r="E267" s="154" t="s">
        <v>592</v>
      </c>
      <c r="F267" s="156">
        <f>1083507+43804-23412</f>
        <v>1103899</v>
      </c>
    </row>
    <row r="268" spans="1:6" ht="25.5">
      <c r="A268" s="210" t="s">
        <v>184</v>
      </c>
      <c r="B268" s="211" t="s">
        <v>60</v>
      </c>
      <c r="C268" s="211" t="s">
        <v>677</v>
      </c>
      <c r="D268" s="212" t="s">
        <v>46</v>
      </c>
      <c r="E268" s="211" t="s">
        <v>250</v>
      </c>
      <c r="F268" s="213">
        <f>105492+37500+68845</f>
        <v>211837</v>
      </c>
    </row>
    <row r="269" spans="1:6" ht="51">
      <c r="A269" s="162" t="s">
        <v>228</v>
      </c>
      <c r="B269" s="211" t="s">
        <v>60</v>
      </c>
      <c r="C269" s="211" t="s">
        <v>677</v>
      </c>
      <c r="D269" s="163" t="s">
        <v>660</v>
      </c>
      <c r="E269" s="154"/>
      <c r="F269" s="152">
        <f>F270</f>
        <v>7000</v>
      </c>
    </row>
    <row r="270" spans="1:6" ht="25.5">
      <c r="A270" s="34" t="s">
        <v>211</v>
      </c>
      <c r="B270" s="211" t="s">
        <v>60</v>
      </c>
      <c r="C270" s="211" t="s">
        <v>677</v>
      </c>
      <c r="D270" s="163" t="s">
        <v>313</v>
      </c>
      <c r="E270" s="154"/>
      <c r="F270" s="152">
        <f>F271</f>
        <v>7000</v>
      </c>
    </row>
    <row r="271" spans="1:6" ht="12.75">
      <c r="A271" s="31" t="s">
        <v>234</v>
      </c>
      <c r="B271" s="211" t="s">
        <v>60</v>
      </c>
      <c r="C271" s="211" t="s">
        <v>677</v>
      </c>
      <c r="D271" s="159" t="s">
        <v>233</v>
      </c>
      <c r="E271" s="154"/>
      <c r="F271" s="152">
        <f>F272</f>
        <v>7000</v>
      </c>
    </row>
    <row r="272" spans="1:6" ht="12.75">
      <c r="A272" s="153" t="s">
        <v>257</v>
      </c>
      <c r="B272" s="211" t="s">
        <v>60</v>
      </c>
      <c r="C272" s="211" t="s">
        <v>677</v>
      </c>
      <c r="D272" s="159" t="s">
        <v>233</v>
      </c>
      <c r="E272" s="154">
        <v>300</v>
      </c>
      <c r="F272" s="156">
        <v>7000</v>
      </c>
    </row>
    <row r="273" spans="1:6" ht="12.75">
      <c r="A273" s="224" t="s">
        <v>603</v>
      </c>
      <c r="B273" s="225" t="s">
        <v>655</v>
      </c>
      <c r="C273" s="226" t="s">
        <v>214</v>
      </c>
      <c r="D273" s="225" t="s">
        <v>263</v>
      </c>
      <c r="E273" s="225" t="s">
        <v>263</v>
      </c>
      <c r="F273" s="227">
        <f>F274</f>
        <v>27794150</v>
      </c>
    </row>
    <row r="274" spans="1:6" ht="12.75">
      <c r="A274" s="150" t="s">
        <v>667</v>
      </c>
      <c r="B274" s="151" t="s">
        <v>655</v>
      </c>
      <c r="C274" s="151" t="s">
        <v>643</v>
      </c>
      <c r="D274" s="151" t="s">
        <v>263</v>
      </c>
      <c r="E274" s="151" t="s">
        <v>263</v>
      </c>
      <c r="F274" s="152">
        <f>F275</f>
        <v>27794150</v>
      </c>
    </row>
    <row r="275" spans="1:6" ht="25.5">
      <c r="A275" s="161" t="s">
        <v>136</v>
      </c>
      <c r="B275" s="154" t="s">
        <v>655</v>
      </c>
      <c r="C275" s="154" t="s">
        <v>643</v>
      </c>
      <c r="D275" s="159" t="s">
        <v>324</v>
      </c>
      <c r="E275" s="154" t="s">
        <v>263</v>
      </c>
      <c r="F275" s="152">
        <f>F276+F282</f>
        <v>27794150</v>
      </c>
    </row>
    <row r="276" spans="1:6" ht="25.5">
      <c r="A276" s="172" t="s">
        <v>586</v>
      </c>
      <c r="B276" s="154" t="s">
        <v>655</v>
      </c>
      <c r="C276" s="154" t="s">
        <v>643</v>
      </c>
      <c r="D276" s="159" t="s">
        <v>325</v>
      </c>
      <c r="E276" s="155" t="s">
        <v>263</v>
      </c>
      <c r="F276" s="152">
        <f>F277</f>
        <v>4287683</v>
      </c>
    </row>
    <row r="277" spans="1:6" ht="12.75">
      <c r="A277" s="25" t="s">
        <v>301</v>
      </c>
      <c r="B277" s="154" t="s">
        <v>655</v>
      </c>
      <c r="C277" s="154" t="s">
        <v>643</v>
      </c>
      <c r="D277" s="159" t="s">
        <v>326</v>
      </c>
      <c r="E277" s="155"/>
      <c r="F277" s="152">
        <f>F278</f>
        <v>4287683</v>
      </c>
    </row>
    <row r="278" spans="1:6" ht="25.5">
      <c r="A278" s="155" t="s">
        <v>615</v>
      </c>
      <c r="B278" s="154" t="s">
        <v>655</v>
      </c>
      <c r="C278" s="154" t="s">
        <v>643</v>
      </c>
      <c r="D278" s="159" t="s">
        <v>327</v>
      </c>
      <c r="E278" s="154" t="s">
        <v>263</v>
      </c>
      <c r="F278" s="152">
        <f>SUM(F279:F281)</f>
        <v>4287683</v>
      </c>
    </row>
    <row r="279" spans="1:6" ht="51">
      <c r="A279" s="153" t="s">
        <v>268</v>
      </c>
      <c r="B279" s="154" t="s">
        <v>655</v>
      </c>
      <c r="C279" s="154" t="s">
        <v>643</v>
      </c>
      <c r="D279" s="159" t="s">
        <v>327</v>
      </c>
      <c r="E279" s="154">
        <v>100</v>
      </c>
      <c r="F279" s="156">
        <f>3530817+255928+65055+86134+20000</f>
        <v>3957934</v>
      </c>
    </row>
    <row r="280" spans="1:6" ht="25.5">
      <c r="A280" s="153" t="s">
        <v>184</v>
      </c>
      <c r="B280" s="154" t="s">
        <v>655</v>
      </c>
      <c r="C280" s="154" t="s">
        <v>643</v>
      </c>
      <c r="D280" s="159" t="s">
        <v>327</v>
      </c>
      <c r="E280" s="154">
        <v>200</v>
      </c>
      <c r="F280" s="156">
        <f>278793+2000+15000</f>
        <v>295793</v>
      </c>
    </row>
    <row r="281" spans="1:6" ht="12.75">
      <c r="A281" s="153" t="s">
        <v>253</v>
      </c>
      <c r="B281" s="154" t="s">
        <v>655</v>
      </c>
      <c r="C281" s="154" t="s">
        <v>643</v>
      </c>
      <c r="D281" s="159" t="s">
        <v>327</v>
      </c>
      <c r="E281" s="154">
        <v>800</v>
      </c>
      <c r="F281" s="156">
        <v>33956</v>
      </c>
    </row>
    <row r="282" spans="1:6" ht="25.5">
      <c r="A282" s="162" t="s">
        <v>587</v>
      </c>
      <c r="B282" s="154" t="s">
        <v>655</v>
      </c>
      <c r="C282" s="154" t="s">
        <v>643</v>
      </c>
      <c r="D282" s="159" t="s">
        <v>328</v>
      </c>
      <c r="E282" s="155"/>
      <c r="F282" s="152">
        <f>F283</f>
        <v>23506467</v>
      </c>
    </row>
    <row r="283" spans="1:6" ht="38.25">
      <c r="A283" s="25" t="s">
        <v>47</v>
      </c>
      <c r="B283" s="154" t="s">
        <v>655</v>
      </c>
      <c r="C283" s="154" t="s">
        <v>643</v>
      </c>
      <c r="D283" s="159" t="s">
        <v>329</v>
      </c>
      <c r="E283" s="155"/>
      <c r="F283" s="152">
        <f>F284+F287+F289+F290</f>
        <v>23506467</v>
      </c>
    </row>
    <row r="284" spans="1:6" ht="25.5">
      <c r="A284" s="155" t="s">
        <v>615</v>
      </c>
      <c r="B284" s="154" t="s">
        <v>655</v>
      </c>
      <c r="C284" s="154" t="s">
        <v>643</v>
      </c>
      <c r="D284" s="159" t="s">
        <v>330</v>
      </c>
      <c r="E284" s="155"/>
      <c r="F284" s="152">
        <f>F285</f>
        <v>17371017</v>
      </c>
    </row>
    <row r="285" spans="1:6" ht="25.5">
      <c r="A285" s="153" t="s">
        <v>266</v>
      </c>
      <c r="B285" s="154" t="s">
        <v>655</v>
      </c>
      <c r="C285" s="154" t="s">
        <v>643</v>
      </c>
      <c r="D285" s="159" t="s">
        <v>330</v>
      </c>
      <c r="E285" s="155">
        <v>600</v>
      </c>
      <c r="F285" s="156">
        <f>15418650-236408+1476189+224000+423952+64634</f>
        <v>17371017</v>
      </c>
    </row>
    <row r="286" spans="1:6" ht="12.75">
      <c r="A286" s="109" t="s">
        <v>440</v>
      </c>
      <c r="B286" s="154" t="s">
        <v>655</v>
      </c>
      <c r="C286" s="154" t="s">
        <v>643</v>
      </c>
      <c r="D286" s="159" t="s">
        <v>439</v>
      </c>
      <c r="E286" s="155"/>
      <c r="F286" s="156">
        <f>F287</f>
        <v>5095842</v>
      </c>
    </row>
    <row r="287" spans="1:6" ht="25.5">
      <c r="A287" s="153" t="s">
        <v>266</v>
      </c>
      <c r="B287" s="154" t="s">
        <v>655</v>
      </c>
      <c r="C287" s="154" t="s">
        <v>643</v>
      </c>
      <c r="D287" s="159" t="s">
        <v>439</v>
      </c>
      <c r="E287" s="155">
        <v>600</v>
      </c>
      <c r="F287" s="156">
        <v>5095842</v>
      </c>
    </row>
    <row r="288" spans="1:6" ht="25.5">
      <c r="A288" s="109" t="s">
        <v>456</v>
      </c>
      <c r="B288" s="154" t="s">
        <v>655</v>
      </c>
      <c r="C288" s="154" t="s">
        <v>643</v>
      </c>
      <c r="D288" s="159" t="s">
        <v>457</v>
      </c>
      <c r="E288" s="155"/>
      <c r="F288" s="156">
        <v>236408</v>
      </c>
    </row>
    <row r="289" spans="1:6" ht="25.5">
      <c r="A289" s="153" t="s">
        <v>266</v>
      </c>
      <c r="B289" s="154" t="s">
        <v>655</v>
      </c>
      <c r="C289" s="154" t="s">
        <v>643</v>
      </c>
      <c r="D289" s="159" t="s">
        <v>457</v>
      </c>
      <c r="E289" s="155">
        <v>600</v>
      </c>
      <c r="F289" s="156">
        <v>236408</v>
      </c>
    </row>
    <row r="290" spans="1:6" ht="24">
      <c r="A290" s="31" t="s">
        <v>299</v>
      </c>
      <c r="B290" s="182" t="s">
        <v>655</v>
      </c>
      <c r="C290" s="154" t="s">
        <v>643</v>
      </c>
      <c r="D290" s="159" t="s">
        <v>230</v>
      </c>
      <c r="E290" s="155"/>
      <c r="F290" s="152">
        <f>F291</f>
        <v>803200</v>
      </c>
    </row>
    <row r="291" spans="1:7" ht="25.5">
      <c r="A291" s="165" t="s">
        <v>267</v>
      </c>
      <c r="B291" s="188" t="s">
        <v>655</v>
      </c>
      <c r="C291" s="154" t="s">
        <v>643</v>
      </c>
      <c r="D291" s="167" t="s">
        <v>230</v>
      </c>
      <c r="E291" s="189">
        <v>200</v>
      </c>
      <c r="F291" s="168">
        <f>797000+6200</f>
        <v>803200</v>
      </c>
      <c r="G291" s="119" t="s">
        <v>441</v>
      </c>
    </row>
    <row r="292" spans="1:7" ht="12.75" hidden="1">
      <c r="A292" s="162" t="s">
        <v>300</v>
      </c>
      <c r="B292" s="182" t="s">
        <v>655</v>
      </c>
      <c r="C292" s="182" t="s">
        <v>646</v>
      </c>
      <c r="D292" s="159"/>
      <c r="E292" s="155"/>
      <c r="F292" s="152">
        <f>F293</f>
        <v>0</v>
      </c>
      <c r="G292" s="119" t="s">
        <v>438</v>
      </c>
    </row>
    <row r="293" spans="1:6" ht="25.5" hidden="1">
      <c r="A293" s="161" t="s">
        <v>337</v>
      </c>
      <c r="B293" s="182" t="s">
        <v>655</v>
      </c>
      <c r="C293" s="182" t="s">
        <v>646</v>
      </c>
      <c r="D293" s="159" t="s">
        <v>324</v>
      </c>
      <c r="E293" s="155"/>
      <c r="F293" s="152">
        <f>F294</f>
        <v>0</v>
      </c>
    </row>
    <row r="294" spans="1:6" ht="25.5" hidden="1">
      <c r="A294" s="153" t="s">
        <v>587</v>
      </c>
      <c r="B294" s="182" t="s">
        <v>655</v>
      </c>
      <c r="C294" s="182" t="s">
        <v>646</v>
      </c>
      <c r="D294" s="159" t="s">
        <v>328</v>
      </c>
      <c r="E294" s="155"/>
      <c r="F294" s="152">
        <f>F295</f>
        <v>0</v>
      </c>
    </row>
    <row r="295" spans="1:6" ht="38.25" hidden="1">
      <c r="A295" s="25" t="s">
        <v>47</v>
      </c>
      <c r="B295" s="182" t="s">
        <v>655</v>
      </c>
      <c r="C295" s="182" t="s">
        <v>646</v>
      </c>
      <c r="D295" s="159" t="s">
        <v>329</v>
      </c>
      <c r="E295" s="155"/>
      <c r="F295" s="152">
        <f>F296</f>
        <v>0</v>
      </c>
    </row>
    <row r="296" spans="1:6" ht="24" hidden="1">
      <c r="A296" s="31" t="s">
        <v>299</v>
      </c>
      <c r="B296" s="182" t="s">
        <v>655</v>
      </c>
      <c r="C296" s="182" t="s">
        <v>646</v>
      </c>
      <c r="D296" s="159" t="s">
        <v>230</v>
      </c>
      <c r="E296" s="155"/>
      <c r="F296" s="152">
        <f>F297</f>
        <v>0</v>
      </c>
    </row>
    <row r="297" spans="1:6" ht="25.5" hidden="1">
      <c r="A297" s="165" t="s">
        <v>267</v>
      </c>
      <c r="B297" s="188" t="s">
        <v>655</v>
      </c>
      <c r="C297" s="188" t="s">
        <v>646</v>
      </c>
      <c r="D297" s="167" t="s">
        <v>230</v>
      </c>
      <c r="E297" s="189">
        <v>200</v>
      </c>
      <c r="F297" s="168"/>
    </row>
    <row r="298" spans="1:6" ht="12.75">
      <c r="A298" s="190" t="s">
        <v>164</v>
      </c>
      <c r="B298" s="191" t="s">
        <v>677</v>
      </c>
      <c r="C298" s="228" t="s">
        <v>214</v>
      </c>
      <c r="D298" s="192"/>
      <c r="E298" s="193"/>
      <c r="F298" s="149">
        <f>F299</f>
        <v>986911</v>
      </c>
    </row>
    <row r="299" spans="1:6" ht="12.75">
      <c r="A299" s="169" t="s">
        <v>165</v>
      </c>
      <c r="B299" s="186" t="s">
        <v>677</v>
      </c>
      <c r="C299" s="186" t="s">
        <v>60</v>
      </c>
      <c r="D299" s="175"/>
      <c r="E299" s="187"/>
      <c r="F299" s="184">
        <f>F300</f>
        <v>986911</v>
      </c>
    </row>
    <row r="300" spans="1:6" ht="25.5">
      <c r="A300" s="161" t="s">
        <v>39</v>
      </c>
      <c r="B300" s="182" t="s">
        <v>677</v>
      </c>
      <c r="C300" s="182" t="s">
        <v>60</v>
      </c>
      <c r="D300" s="159" t="s">
        <v>135</v>
      </c>
      <c r="E300" s="155"/>
      <c r="F300" s="152">
        <f>F301</f>
        <v>986911</v>
      </c>
    </row>
    <row r="301" spans="1:6" ht="25.5">
      <c r="A301" s="162" t="s">
        <v>40</v>
      </c>
      <c r="B301" s="182" t="s">
        <v>677</v>
      </c>
      <c r="C301" s="182" t="s">
        <v>60</v>
      </c>
      <c r="D301" s="163" t="s">
        <v>137</v>
      </c>
      <c r="E301" s="155"/>
      <c r="F301" s="152">
        <f>F302</f>
        <v>986911</v>
      </c>
    </row>
    <row r="302" spans="1:6" ht="25.5">
      <c r="A302" s="36" t="s">
        <v>395</v>
      </c>
      <c r="B302" s="182" t="s">
        <v>677</v>
      </c>
      <c r="C302" s="182" t="s">
        <v>60</v>
      </c>
      <c r="D302" s="159" t="s">
        <v>166</v>
      </c>
      <c r="E302" s="155"/>
      <c r="F302" s="152">
        <f>F303</f>
        <v>986911</v>
      </c>
    </row>
    <row r="303" spans="1:6" ht="25.5">
      <c r="A303" s="165" t="s">
        <v>267</v>
      </c>
      <c r="B303" s="188" t="s">
        <v>677</v>
      </c>
      <c r="C303" s="188" t="s">
        <v>60</v>
      </c>
      <c r="D303" s="167" t="s">
        <v>166</v>
      </c>
      <c r="E303" s="189">
        <v>200</v>
      </c>
      <c r="F303" s="168">
        <f>657941+328970</f>
        <v>986911</v>
      </c>
    </row>
    <row r="304" spans="1:6" ht="12.75">
      <c r="A304" s="146" t="s">
        <v>668</v>
      </c>
      <c r="B304" s="147" t="s">
        <v>656</v>
      </c>
      <c r="C304" s="148" t="s">
        <v>214</v>
      </c>
      <c r="D304" s="147" t="s">
        <v>263</v>
      </c>
      <c r="E304" s="147" t="s">
        <v>263</v>
      </c>
      <c r="F304" s="183">
        <f>F305+F311+F334+F364</f>
        <v>20406572.87</v>
      </c>
    </row>
    <row r="305" spans="1:6" ht="12.75">
      <c r="A305" s="150" t="s">
        <v>375</v>
      </c>
      <c r="B305" s="181">
        <v>10</v>
      </c>
      <c r="C305" s="229" t="s">
        <v>643</v>
      </c>
      <c r="D305" s="181"/>
      <c r="E305" s="181"/>
      <c r="F305" s="230">
        <f>F306</f>
        <v>10000</v>
      </c>
    </row>
    <row r="306" spans="1:6" ht="25.5">
      <c r="A306" s="161" t="s">
        <v>379</v>
      </c>
      <c r="B306" s="154">
        <v>10</v>
      </c>
      <c r="C306" s="182" t="s">
        <v>643</v>
      </c>
      <c r="D306" s="159" t="s">
        <v>123</v>
      </c>
      <c r="E306" s="181"/>
      <c r="F306" s="152">
        <f>F307</f>
        <v>10000</v>
      </c>
    </row>
    <row r="307" spans="1:6" ht="36.75" customHeight="1">
      <c r="A307" s="162" t="s">
        <v>380</v>
      </c>
      <c r="B307" s="154">
        <v>10</v>
      </c>
      <c r="C307" s="182" t="s">
        <v>643</v>
      </c>
      <c r="D307" s="159" t="s">
        <v>344</v>
      </c>
      <c r="E307" s="181"/>
      <c r="F307" s="152">
        <f>F308</f>
        <v>10000</v>
      </c>
    </row>
    <row r="308" spans="1:6" ht="25.5">
      <c r="A308" s="25" t="s">
        <v>454</v>
      </c>
      <c r="B308" s="154">
        <v>10</v>
      </c>
      <c r="C308" s="182" t="s">
        <v>643</v>
      </c>
      <c r="D308" s="159" t="s">
        <v>376</v>
      </c>
      <c r="E308" s="181"/>
      <c r="F308" s="152">
        <f>F309</f>
        <v>10000</v>
      </c>
    </row>
    <row r="309" spans="1:6" ht="25.5">
      <c r="A309" s="25" t="s">
        <v>378</v>
      </c>
      <c r="B309" s="154">
        <v>10</v>
      </c>
      <c r="C309" s="182" t="s">
        <v>643</v>
      </c>
      <c r="D309" s="159" t="s">
        <v>377</v>
      </c>
      <c r="E309" s="181"/>
      <c r="F309" s="152">
        <f>F310</f>
        <v>10000</v>
      </c>
    </row>
    <row r="310" spans="1:6" ht="12.75">
      <c r="A310" s="153" t="s">
        <v>257</v>
      </c>
      <c r="B310" s="154">
        <v>10</v>
      </c>
      <c r="C310" s="182" t="s">
        <v>643</v>
      </c>
      <c r="D310" s="159" t="s">
        <v>377</v>
      </c>
      <c r="E310" s="154">
        <v>300</v>
      </c>
      <c r="F310" s="156">
        <v>10000</v>
      </c>
    </row>
    <row r="311" spans="1:6" ht="12.75">
      <c r="A311" s="150" t="s">
        <v>669</v>
      </c>
      <c r="B311" s="151" t="s">
        <v>656</v>
      </c>
      <c r="C311" s="151" t="s">
        <v>676</v>
      </c>
      <c r="D311" s="151" t="s">
        <v>263</v>
      </c>
      <c r="E311" s="151" t="s">
        <v>263</v>
      </c>
      <c r="F311" s="184">
        <f>F312+F329</f>
        <v>8553440</v>
      </c>
    </row>
    <row r="312" spans="1:6" ht="25.5">
      <c r="A312" s="161" t="s">
        <v>379</v>
      </c>
      <c r="B312" s="154" t="s">
        <v>656</v>
      </c>
      <c r="C312" s="154" t="s">
        <v>676</v>
      </c>
      <c r="D312" s="159" t="s">
        <v>123</v>
      </c>
      <c r="E312" s="154" t="s">
        <v>263</v>
      </c>
      <c r="F312" s="152">
        <f>F313</f>
        <v>8533440</v>
      </c>
    </row>
    <row r="313" spans="1:6" ht="51">
      <c r="A313" s="162" t="s">
        <v>380</v>
      </c>
      <c r="B313" s="154" t="s">
        <v>656</v>
      </c>
      <c r="C313" s="154" t="s">
        <v>676</v>
      </c>
      <c r="D313" s="163" t="s">
        <v>344</v>
      </c>
      <c r="E313" s="155" t="s">
        <v>263</v>
      </c>
      <c r="F313" s="152">
        <f>F314+F321+F325</f>
        <v>8533440</v>
      </c>
    </row>
    <row r="314" spans="1:6" ht="25.5">
      <c r="A314" s="25" t="s">
        <v>48</v>
      </c>
      <c r="B314" s="154" t="s">
        <v>656</v>
      </c>
      <c r="C314" s="154" t="s">
        <v>676</v>
      </c>
      <c r="D314" s="174" t="s">
        <v>353</v>
      </c>
      <c r="E314" s="154"/>
      <c r="F314" s="152">
        <f>F315+F318</f>
        <v>7994472</v>
      </c>
    </row>
    <row r="315" spans="1:6" ht="12.75">
      <c r="A315" s="155" t="s">
        <v>589</v>
      </c>
      <c r="B315" s="154" t="s">
        <v>656</v>
      </c>
      <c r="C315" s="154" t="s">
        <v>676</v>
      </c>
      <c r="D315" s="159" t="s">
        <v>49</v>
      </c>
      <c r="E315" s="154" t="s">
        <v>263</v>
      </c>
      <c r="F315" s="152">
        <f>SUM(F316:F317)</f>
        <v>7016472</v>
      </c>
    </row>
    <row r="316" spans="1:6" ht="25.5">
      <c r="A316" s="153" t="s">
        <v>184</v>
      </c>
      <c r="B316" s="154" t="s">
        <v>656</v>
      </c>
      <c r="C316" s="154" t="s">
        <v>676</v>
      </c>
      <c r="D316" s="159" t="s">
        <v>49</v>
      </c>
      <c r="E316" s="154">
        <v>200</v>
      </c>
      <c r="F316" s="156">
        <f>110000-2000</f>
        <v>108000</v>
      </c>
    </row>
    <row r="317" spans="1:6" ht="12.75">
      <c r="A317" s="153" t="s">
        <v>257</v>
      </c>
      <c r="B317" s="154" t="s">
        <v>656</v>
      </c>
      <c r="C317" s="154" t="s">
        <v>676</v>
      </c>
      <c r="D317" s="159" t="s">
        <v>49</v>
      </c>
      <c r="E317" s="154">
        <v>300</v>
      </c>
      <c r="F317" s="156">
        <f>6730092-205620+364000+20000</f>
        <v>6908472</v>
      </c>
    </row>
    <row r="318" spans="1:6" ht="12.75">
      <c r="A318" s="155" t="s">
        <v>590</v>
      </c>
      <c r="B318" s="154" t="s">
        <v>656</v>
      </c>
      <c r="C318" s="154" t="s">
        <v>676</v>
      </c>
      <c r="D318" s="159" t="s">
        <v>50</v>
      </c>
      <c r="E318" s="154" t="s">
        <v>263</v>
      </c>
      <c r="F318" s="152">
        <f>SUM(F319:F320)</f>
        <v>978000</v>
      </c>
    </row>
    <row r="319" spans="1:6" ht="25.5">
      <c r="A319" s="153" t="s">
        <v>184</v>
      </c>
      <c r="B319" s="154" t="s">
        <v>656</v>
      </c>
      <c r="C319" s="154" t="s">
        <v>676</v>
      </c>
      <c r="D319" s="159" t="s">
        <v>50</v>
      </c>
      <c r="E319" s="154">
        <v>200</v>
      </c>
      <c r="F319" s="156">
        <f>25000-6000</f>
        <v>19000</v>
      </c>
    </row>
    <row r="320" spans="1:6" ht="12.75">
      <c r="A320" s="153" t="s">
        <v>257</v>
      </c>
      <c r="B320" s="154" t="s">
        <v>656</v>
      </c>
      <c r="C320" s="154" t="s">
        <v>676</v>
      </c>
      <c r="D320" s="159" t="s">
        <v>50</v>
      </c>
      <c r="E320" s="154" t="s">
        <v>256</v>
      </c>
      <c r="F320" s="156">
        <f>1073000-94000-20000</f>
        <v>959000</v>
      </c>
    </row>
    <row r="321" spans="1:6" ht="25.5">
      <c r="A321" s="24" t="s">
        <v>350</v>
      </c>
      <c r="B321" s="151" t="s">
        <v>656</v>
      </c>
      <c r="C321" s="151" t="s">
        <v>676</v>
      </c>
      <c r="D321" s="174" t="s">
        <v>354</v>
      </c>
      <c r="E321" s="151"/>
      <c r="F321" s="152">
        <f>F322</f>
        <v>140297</v>
      </c>
    </row>
    <row r="322" spans="1:6" ht="38.25">
      <c r="A322" s="155" t="s">
        <v>618</v>
      </c>
      <c r="B322" s="154" t="s">
        <v>656</v>
      </c>
      <c r="C322" s="154" t="s">
        <v>676</v>
      </c>
      <c r="D322" s="159" t="s">
        <v>355</v>
      </c>
      <c r="E322" s="154" t="s">
        <v>263</v>
      </c>
      <c r="F322" s="152">
        <f>SUM(F323:F324)</f>
        <v>140297</v>
      </c>
    </row>
    <row r="323" spans="1:6" ht="25.5">
      <c r="A323" s="153" t="s">
        <v>184</v>
      </c>
      <c r="B323" s="154" t="s">
        <v>656</v>
      </c>
      <c r="C323" s="154" t="s">
        <v>676</v>
      </c>
      <c r="D323" s="159" t="s">
        <v>355</v>
      </c>
      <c r="E323" s="154">
        <v>200</v>
      </c>
      <c r="F323" s="152">
        <f>2797-336.02</f>
        <v>2460.98</v>
      </c>
    </row>
    <row r="324" spans="1:6" ht="12.75">
      <c r="A324" s="153" t="s">
        <v>257</v>
      </c>
      <c r="B324" s="154" t="s">
        <v>656</v>
      </c>
      <c r="C324" s="154" t="s">
        <v>676</v>
      </c>
      <c r="D324" s="159" t="s">
        <v>355</v>
      </c>
      <c r="E324" s="154" t="s">
        <v>256</v>
      </c>
      <c r="F324" s="156">
        <f>134000+3500+336.02</f>
        <v>137836.02</v>
      </c>
    </row>
    <row r="325" spans="1:6" ht="38.25">
      <c r="A325" s="29" t="s">
        <v>51</v>
      </c>
      <c r="B325" s="151" t="s">
        <v>656</v>
      </c>
      <c r="C325" s="151" t="s">
        <v>676</v>
      </c>
      <c r="D325" s="163" t="s">
        <v>356</v>
      </c>
      <c r="E325" s="151"/>
      <c r="F325" s="152">
        <f>F326</f>
        <v>398671</v>
      </c>
    </row>
    <row r="326" spans="1:6" ht="38.25">
      <c r="A326" s="155" t="s">
        <v>281</v>
      </c>
      <c r="B326" s="154" t="s">
        <v>656</v>
      </c>
      <c r="C326" s="154" t="s">
        <v>676</v>
      </c>
      <c r="D326" s="159" t="s">
        <v>357</v>
      </c>
      <c r="E326" s="154" t="s">
        <v>263</v>
      </c>
      <c r="F326" s="152">
        <f>SUM(F327:F328)</f>
        <v>398671</v>
      </c>
    </row>
    <row r="327" spans="1:6" ht="25.5">
      <c r="A327" s="153" t="s">
        <v>184</v>
      </c>
      <c r="B327" s="154" t="s">
        <v>656</v>
      </c>
      <c r="C327" s="154" t="s">
        <v>676</v>
      </c>
      <c r="D327" s="159" t="s">
        <v>357</v>
      </c>
      <c r="E327" s="154">
        <v>200</v>
      </c>
      <c r="F327" s="156">
        <v>2500</v>
      </c>
    </row>
    <row r="328" spans="1:6" ht="12.75">
      <c r="A328" s="153" t="s">
        <v>257</v>
      </c>
      <c r="B328" s="154" t="s">
        <v>656</v>
      </c>
      <c r="C328" s="154" t="s">
        <v>676</v>
      </c>
      <c r="D328" s="159" t="s">
        <v>357</v>
      </c>
      <c r="E328" s="154">
        <v>300</v>
      </c>
      <c r="F328" s="156">
        <f>450715-54544</f>
        <v>396171</v>
      </c>
    </row>
    <row r="329" spans="1:6" ht="38.25">
      <c r="A329" s="161" t="s">
        <v>229</v>
      </c>
      <c r="B329" s="154">
        <v>10</v>
      </c>
      <c r="C329" s="154" t="s">
        <v>676</v>
      </c>
      <c r="D329" s="159" t="s">
        <v>659</v>
      </c>
      <c r="E329" s="154"/>
      <c r="F329" s="152">
        <f>F330</f>
        <v>20000</v>
      </c>
    </row>
    <row r="330" spans="1:6" ht="51">
      <c r="A330" s="162" t="s">
        <v>228</v>
      </c>
      <c r="B330" s="154">
        <v>10</v>
      </c>
      <c r="C330" s="154" t="s">
        <v>676</v>
      </c>
      <c r="D330" s="163" t="s">
        <v>660</v>
      </c>
      <c r="E330" s="154"/>
      <c r="F330" s="152">
        <f>F331</f>
        <v>20000</v>
      </c>
    </row>
    <row r="331" spans="1:6" ht="25.5">
      <c r="A331" s="34" t="s">
        <v>211</v>
      </c>
      <c r="B331" s="154">
        <v>10</v>
      </c>
      <c r="C331" s="154" t="s">
        <v>676</v>
      </c>
      <c r="D331" s="163" t="s">
        <v>313</v>
      </c>
      <c r="E331" s="154"/>
      <c r="F331" s="152">
        <f>F332</f>
        <v>20000</v>
      </c>
    </row>
    <row r="332" spans="1:6" ht="12.75">
      <c r="A332" s="31" t="s">
        <v>234</v>
      </c>
      <c r="B332" s="154">
        <v>10</v>
      </c>
      <c r="C332" s="154" t="s">
        <v>676</v>
      </c>
      <c r="D332" s="159" t="s">
        <v>233</v>
      </c>
      <c r="E332" s="154"/>
      <c r="F332" s="152">
        <f>F333</f>
        <v>20000</v>
      </c>
    </row>
    <row r="333" spans="1:6" ht="12.75">
      <c r="A333" s="153" t="s">
        <v>257</v>
      </c>
      <c r="B333" s="154">
        <v>10</v>
      </c>
      <c r="C333" s="154" t="s">
        <v>676</v>
      </c>
      <c r="D333" s="159" t="s">
        <v>233</v>
      </c>
      <c r="E333" s="154">
        <v>300</v>
      </c>
      <c r="F333" s="156">
        <v>20000</v>
      </c>
    </row>
    <row r="334" spans="1:6" ht="12.75">
      <c r="A334" s="150" t="s">
        <v>670</v>
      </c>
      <c r="B334" s="151" t="s">
        <v>656</v>
      </c>
      <c r="C334" s="151" t="s">
        <v>646</v>
      </c>
      <c r="D334" s="151" t="s">
        <v>263</v>
      </c>
      <c r="E334" s="151" t="s">
        <v>263</v>
      </c>
      <c r="F334" s="152">
        <f>F335+F343+F359</f>
        <v>9771132.870000001</v>
      </c>
    </row>
    <row r="335" spans="1:6" ht="25.5">
      <c r="A335" s="161" t="s">
        <v>379</v>
      </c>
      <c r="B335" s="154" t="s">
        <v>656</v>
      </c>
      <c r="C335" s="154" t="s">
        <v>646</v>
      </c>
      <c r="D335" s="159" t="s">
        <v>123</v>
      </c>
      <c r="E335" s="154"/>
      <c r="F335" s="152">
        <f>F336</f>
        <v>5559763</v>
      </c>
    </row>
    <row r="336" spans="1:6" ht="51">
      <c r="A336" s="162" t="s">
        <v>389</v>
      </c>
      <c r="B336" s="154" t="s">
        <v>656</v>
      </c>
      <c r="C336" s="154" t="s">
        <v>646</v>
      </c>
      <c r="D336" s="163" t="s">
        <v>128</v>
      </c>
      <c r="E336" s="155" t="s">
        <v>263</v>
      </c>
      <c r="F336" s="152">
        <f>F337+F340</f>
        <v>5559763</v>
      </c>
    </row>
    <row r="337" spans="1:6" ht="38.25">
      <c r="A337" s="25" t="s">
        <v>566</v>
      </c>
      <c r="B337" s="154" t="s">
        <v>656</v>
      </c>
      <c r="C337" s="154" t="s">
        <v>646</v>
      </c>
      <c r="D337" s="154" t="s">
        <v>351</v>
      </c>
      <c r="E337" s="154"/>
      <c r="F337" s="152">
        <f>F338</f>
        <v>1275422</v>
      </c>
    </row>
    <row r="338" spans="1:6" ht="12.75">
      <c r="A338" s="24" t="s">
        <v>657</v>
      </c>
      <c r="B338" s="154" t="s">
        <v>656</v>
      </c>
      <c r="C338" s="154" t="s">
        <v>646</v>
      </c>
      <c r="D338" s="159" t="s">
        <v>567</v>
      </c>
      <c r="E338" s="154"/>
      <c r="F338" s="152">
        <f>F339</f>
        <v>1275422</v>
      </c>
    </row>
    <row r="339" spans="1:6" ht="12.75">
      <c r="A339" s="153" t="s">
        <v>257</v>
      </c>
      <c r="B339" s="154" t="s">
        <v>656</v>
      </c>
      <c r="C339" s="154" t="s">
        <v>646</v>
      </c>
      <c r="D339" s="159" t="s">
        <v>567</v>
      </c>
      <c r="E339" s="154">
        <v>300</v>
      </c>
      <c r="F339" s="156">
        <f>1199422+76000</f>
        <v>1275422</v>
      </c>
    </row>
    <row r="340" spans="1:6" ht="51">
      <c r="A340" s="25" t="s">
        <v>352</v>
      </c>
      <c r="B340" s="154" t="s">
        <v>656</v>
      </c>
      <c r="C340" s="154" t="s">
        <v>646</v>
      </c>
      <c r="D340" s="163" t="s">
        <v>568</v>
      </c>
      <c r="E340" s="155"/>
      <c r="F340" s="152">
        <f>F341</f>
        <v>4284341</v>
      </c>
    </row>
    <row r="341" spans="1:6" ht="38.25">
      <c r="A341" s="155" t="s">
        <v>591</v>
      </c>
      <c r="B341" s="154" t="s">
        <v>656</v>
      </c>
      <c r="C341" s="154" t="s">
        <v>646</v>
      </c>
      <c r="D341" s="159" t="s">
        <v>569</v>
      </c>
      <c r="E341" s="154" t="s">
        <v>263</v>
      </c>
      <c r="F341" s="152">
        <f>SUM(F342:F342)</f>
        <v>4284341</v>
      </c>
    </row>
    <row r="342" spans="1:6" ht="12.75">
      <c r="A342" s="153" t="s">
        <v>257</v>
      </c>
      <c r="B342" s="154" t="s">
        <v>656</v>
      </c>
      <c r="C342" s="154" t="s">
        <v>646</v>
      </c>
      <c r="D342" s="159" t="s">
        <v>569</v>
      </c>
      <c r="E342" s="154">
        <v>300</v>
      </c>
      <c r="F342" s="156">
        <f>4039316+245025</f>
        <v>4284341</v>
      </c>
    </row>
    <row r="343" spans="1:6" ht="38.25">
      <c r="A343" s="161" t="s">
        <v>557</v>
      </c>
      <c r="B343" s="154">
        <v>10</v>
      </c>
      <c r="C343" s="154" t="s">
        <v>646</v>
      </c>
      <c r="D343" s="159" t="s">
        <v>659</v>
      </c>
      <c r="E343" s="154"/>
      <c r="F343" s="152">
        <f>F344+F348</f>
        <v>4210569.87</v>
      </c>
    </row>
    <row r="344" spans="1:6" ht="51">
      <c r="A344" s="162" t="s">
        <v>125</v>
      </c>
      <c r="B344" s="154">
        <v>10</v>
      </c>
      <c r="C344" s="154" t="s">
        <v>646</v>
      </c>
      <c r="D344" s="159" t="s">
        <v>318</v>
      </c>
      <c r="E344" s="154"/>
      <c r="F344" s="152">
        <v>600</v>
      </c>
    </row>
    <row r="345" spans="1:6" ht="38.25">
      <c r="A345" s="27" t="s">
        <v>335</v>
      </c>
      <c r="B345" s="154">
        <v>10</v>
      </c>
      <c r="C345" s="154" t="s">
        <v>646</v>
      </c>
      <c r="D345" s="159" t="s">
        <v>322</v>
      </c>
      <c r="E345" s="154"/>
      <c r="F345" s="152">
        <v>600</v>
      </c>
    </row>
    <row r="346" spans="1:6" ht="25.5">
      <c r="A346" s="155" t="s">
        <v>283</v>
      </c>
      <c r="B346" s="154">
        <v>10</v>
      </c>
      <c r="C346" s="154" t="s">
        <v>646</v>
      </c>
      <c r="D346" s="159" t="s">
        <v>323</v>
      </c>
      <c r="E346" s="154" t="s">
        <v>263</v>
      </c>
      <c r="F346" s="152">
        <v>600</v>
      </c>
    </row>
    <row r="347" spans="1:6" ht="51">
      <c r="A347" s="153" t="s">
        <v>268</v>
      </c>
      <c r="B347" s="154">
        <v>10</v>
      </c>
      <c r="C347" s="154" t="s">
        <v>646</v>
      </c>
      <c r="D347" s="159" t="s">
        <v>323</v>
      </c>
      <c r="E347" s="154" t="s">
        <v>592</v>
      </c>
      <c r="F347" s="152">
        <v>600</v>
      </c>
    </row>
    <row r="348" spans="1:6" ht="38.25">
      <c r="A348" s="162" t="s">
        <v>558</v>
      </c>
      <c r="B348" s="154">
        <v>10</v>
      </c>
      <c r="C348" s="154" t="s">
        <v>646</v>
      </c>
      <c r="D348" s="163" t="s">
        <v>660</v>
      </c>
      <c r="E348" s="154"/>
      <c r="F348" s="152">
        <f>F349+F352+F356</f>
        <v>4209969.87</v>
      </c>
    </row>
    <row r="349" spans="1:6" ht="25.5">
      <c r="A349" s="24" t="s">
        <v>208</v>
      </c>
      <c r="B349" s="154">
        <v>10</v>
      </c>
      <c r="C349" s="154" t="s">
        <v>646</v>
      </c>
      <c r="D349" s="159" t="s">
        <v>661</v>
      </c>
      <c r="E349" s="154"/>
      <c r="F349" s="152">
        <v>1564</v>
      </c>
    </row>
    <row r="350" spans="1:6" ht="25.5">
      <c r="A350" s="155" t="s">
        <v>283</v>
      </c>
      <c r="B350" s="154">
        <v>10</v>
      </c>
      <c r="C350" s="154" t="s">
        <v>646</v>
      </c>
      <c r="D350" s="159" t="s">
        <v>309</v>
      </c>
      <c r="E350" s="154"/>
      <c r="F350" s="152">
        <f>904+660</f>
        <v>1564</v>
      </c>
    </row>
    <row r="351" spans="1:6" ht="51">
      <c r="A351" s="153" t="s">
        <v>268</v>
      </c>
      <c r="B351" s="154">
        <v>10</v>
      </c>
      <c r="C351" s="154" t="s">
        <v>646</v>
      </c>
      <c r="D351" s="159" t="s">
        <v>309</v>
      </c>
      <c r="E351" s="154">
        <v>100</v>
      </c>
      <c r="F351" s="152">
        <f>904+660</f>
        <v>1564</v>
      </c>
    </row>
    <row r="352" spans="1:6" ht="25.5">
      <c r="A352" s="26" t="s">
        <v>209</v>
      </c>
      <c r="B352" s="154">
        <v>10</v>
      </c>
      <c r="C352" s="154" t="s">
        <v>646</v>
      </c>
      <c r="D352" s="163" t="s">
        <v>358</v>
      </c>
      <c r="E352" s="154"/>
      <c r="F352" s="152">
        <f>F353</f>
        <v>4207872</v>
      </c>
    </row>
    <row r="353" spans="1:6" ht="12.75">
      <c r="A353" s="153" t="s">
        <v>332</v>
      </c>
      <c r="B353" s="154">
        <v>10</v>
      </c>
      <c r="C353" s="154" t="s">
        <v>646</v>
      </c>
      <c r="D353" s="159" t="s">
        <v>502</v>
      </c>
      <c r="E353" s="154"/>
      <c r="F353" s="152">
        <f>SUM(F354:F355)</f>
        <v>4207872</v>
      </c>
    </row>
    <row r="354" spans="1:6" ht="25.5">
      <c r="A354" s="153" t="s">
        <v>184</v>
      </c>
      <c r="B354" s="154">
        <v>10</v>
      </c>
      <c r="C354" s="154" t="s">
        <v>646</v>
      </c>
      <c r="D354" s="159" t="s">
        <v>502</v>
      </c>
      <c r="E354" s="154">
        <v>200</v>
      </c>
      <c r="F354" s="156">
        <f>15570+1160</f>
        <v>16730</v>
      </c>
    </row>
    <row r="355" spans="1:6" ht="12.75">
      <c r="A355" s="153" t="s">
        <v>257</v>
      </c>
      <c r="B355" s="154">
        <v>10</v>
      </c>
      <c r="C355" s="154" t="s">
        <v>646</v>
      </c>
      <c r="D355" s="159" t="s">
        <v>502</v>
      </c>
      <c r="E355" s="154">
        <v>300</v>
      </c>
      <c r="F355" s="156">
        <f>3892302+298840</f>
        <v>4191142</v>
      </c>
    </row>
    <row r="356" spans="1:6" ht="25.5">
      <c r="A356" s="24" t="s">
        <v>210</v>
      </c>
      <c r="B356" s="154">
        <v>10</v>
      </c>
      <c r="C356" s="154" t="s">
        <v>646</v>
      </c>
      <c r="D356" s="175" t="s">
        <v>310</v>
      </c>
      <c r="E356" s="154"/>
      <c r="F356" s="156">
        <v>533.87</v>
      </c>
    </row>
    <row r="357" spans="1:6" ht="25.5">
      <c r="A357" s="155" t="s">
        <v>283</v>
      </c>
      <c r="B357" s="154">
        <v>10</v>
      </c>
      <c r="C357" s="154" t="s">
        <v>646</v>
      </c>
      <c r="D357" s="159" t="s">
        <v>312</v>
      </c>
      <c r="E357" s="154"/>
      <c r="F357" s="156">
        <v>533.87</v>
      </c>
    </row>
    <row r="358" spans="1:6" ht="25.5">
      <c r="A358" s="153" t="s">
        <v>266</v>
      </c>
      <c r="B358" s="154">
        <v>10</v>
      </c>
      <c r="C358" s="154" t="s">
        <v>646</v>
      </c>
      <c r="D358" s="159" t="s">
        <v>312</v>
      </c>
      <c r="E358" s="154">
        <v>600</v>
      </c>
      <c r="F358" s="156">
        <v>533.87</v>
      </c>
    </row>
    <row r="359" spans="1:6" ht="51">
      <c r="A359" s="161" t="s">
        <v>556</v>
      </c>
      <c r="B359" s="154">
        <v>10</v>
      </c>
      <c r="C359" s="154" t="s">
        <v>646</v>
      </c>
      <c r="D359" s="159" t="s">
        <v>140</v>
      </c>
      <c r="E359" s="154" t="s">
        <v>263</v>
      </c>
      <c r="F359" s="156">
        <v>800</v>
      </c>
    </row>
    <row r="360" spans="1:6" ht="89.25">
      <c r="A360" s="32" t="s">
        <v>543</v>
      </c>
      <c r="B360" s="154">
        <v>10</v>
      </c>
      <c r="C360" s="154" t="s">
        <v>646</v>
      </c>
      <c r="D360" s="159" t="s">
        <v>141</v>
      </c>
      <c r="E360" s="154"/>
      <c r="F360" s="156">
        <v>800</v>
      </c>
    </row>
    <row r="361" spans="1:6" ht="63.75">
      <c r="A361" s="24" t="s">
        <v>518</v>
      </c>
      <c r="B361" s="154">
        <v>10</v>
      </c>
      <c r="C361" s="154" t="s">
        <v>646</v>
      </c>
      <c r="D361" s="159" t="s">
        <v>146</v>
      </c>
      <c r="E361" s="154"/>
      <c r="F361" s="156">
        <v>800</v>
      </c>
    </row>
    <row r="362" spans="1:6" ht="25.5">
      <c r="A362" s="155" t="s">
        <v>283</v>
      </c>
      <c r="B362" s="154">
        <v>10</v>
      </c>
      <c r="C362" s="154" t="s">
        <v>646</v>
      </c>
      <c r="D362" s="159" t="s">
        <v>147</v>
      </c>
      <c r="E362" s="154" t="s">
        <v>263</v>
      </c>
      <c r="F362" s="156">
        <v>800</v>
      </c>
    </row>
    <row r="363" spans="1:6" ht="51">
      <c r="A363" s="153" t="s">
        <v>268</v>
      </c>
      <c r="B363" s="154">
        <v>10</v>
      </c>
      <c r="C363" s="154" t="s">
        <v>646</v>
      </c>
      <c r="D363" s="159" t="s">
        <v>147</v>
      </c>
      <c r="E363" s="154">
        <v>100</v>
      </c>
      <c r="F363" s="156">
        <v>800</v>
      </c>
    </row>
    <row r="364" spans="1:6" ht="12.75">
      <c r="A364" s="150" t="s">
        <v>406</v>
      </c>
      <c r="B364" s="151" t="s">
        <v>656</v>
      </c>
      <c r="C364" s="151" t="s">
        <v>647</v>
      </c>
      <c r="D364" s="151" t="s">
        <v>263</v>
      </c>
      <c r="E364" s="151" t="s">
        <v>263</v>
      </c>
      <c r="F364" s="152">
        <f>F365</f>
        <v>2072000</v>
      </c>
    </row>
    <row r="365" spans="1:6" ht="25.5">
      <c r="A365" s="161" t="s">
        <v>379</v>
      </c>
      <c r="B365" s="154" t="s">
        <v>656</v>
      </c>
      <c r="C365" s="154" t="s">
        <v>647</v>
      </c>
      <c r="D365" s="159" t="s">
        <v>123</v>
      </c>
      <c r="E365" s="154" t="s">
        <v>263</v>
      </c>
      <c r="F365" s="152">
        <f>F366</f>
        <v>2072000</v>
      </c>
    </row>
    <row r="366" spans="1:6" ht="51">
      <c r="A366" s="162" t="s">
        <v>701</v>
      </c>
      <c r="B366" s="154" t="s">
        <v>656</v>
      </c>
      <c r="C366" s="154" t="s">
        <v>647</v>
      </c>
      <c r="D366" s="163" t="s">
        <v>127</v>
      </c>
      <c r="E366" s="155" t="s">
        <v>263</v>
      </c>
      <c r="F366" s="152">
        <f>F367</f>
        <v>2072000</v>
      </c>
    </row>
    <row r="367" spans="1:6" ht="51">
      <c r="A367" s="26" t="s">
        <v>570</v>
      </c>
      <c r="B367" s="154" t="s">
        <v>656</v>
      </c>
      <c r="C367" s="154" t="s">
        <v>647</v>
      </c>
      <c r="D367" s="163" t="s">
        <v>571</v>
      </c>
      <c r="E367" s="155"/>
      <c r="F367" s="152">
        <f>F368</f>
        <v>2072000</v>
      </c>
    </row>
    <row r="368" spans="1:6" ht="25.5">
      <c r="A368" s="155" t="s">
        <v>711</v>
      </c>
      <c r="B368" s="154" t="s">
        <v>656</v>
      </c>
      <c r="C368" s="154" t="s">
        <v>647</v>
      </c>
      <c r="D368" s="163" t="s">
        <v>572</v>
      </c>
      <c r="E368" s="154" t="s">
        <v>263</v>
      </c>
      <c r="F368" s="152">
        <f>SUM(F369:F370)</f>
        <v>2072000</v>
      </c>
    </row>
    <row r="369" spans="1:6" ht="51">
      <c r="A369" s="153" t="s">
        <v>268</v>
      </c>
      <c r="B369" s="154" t="s">
        <v>656</v>
      </c>
      <c r="C369" s="154" t="s">
        <v>647</v>
      </c>
      <c r="D369" s="163" t="s">
        <v>572</v>
      </c>
      <c r="E369" s="154">
        <v>100</v>
      </c>
      <c r="F369" s="156">
        <f>1905000+21000-11917.52</f>
        <v>1914082.48</v>
      </c>
    </row>
    <row r="370" spans="1:6" ht="25.5">
      <c r="A370" s="153" t="s">
        <v>184</v>
      </c>
      <c r="B370" s="154" t="s">
        <v>656</v>
      </c>
      <c r="C370" s="154" t="s">
        <v>647</v>
      </c>
      <c r="D370" s="163" t="s">
        <v>572</v>
      </c>
      <c r="E370" s="155">
        <v>200</v>
      </c>
      <c r="F370" s="156">
        <f>139900+5600+12417.52</f>
        <v>157917.52</v>
      </c>
    </row>
    <row r="371" spans="1:6" ht="12.75">
      <c r="A371" s="146" t="s">
        <v>501</v>
      </c>
      <c r="B371" s="147" t="s">
        <v>649</v>
      </c>
      <c r="C371" s="148" t="s">
        <v>214</v>
      </c>
      <c r="D371" s="147" t="s">
        <v>263</v>
      </c>
      <c r="E371" s="147" t="s">
        <v>263</v>
      </c>
      <c r="F371" s="195">
        <f aca="true" t="shared" si="0" ref="F371:F376">F372</f>
        <v>75000</v>
      </c>
    </row>
    <row r="372" spans="1:6" ht="12.75">
      <c r="A372" s="150" t="s">
        <v>451</v>
      </c>
      <c r="B372" s="151" t="s">
        <v>649</v>
      </c>
      <c r="C372" s="151" t="s">
        <v>645</v>
      </c>
      <c r="D372" s="151" t="s">
        <v>263</v>
      </c>
      <c r="E372" s="151" t="s">
        <v>263</v>
      </c>
      <c r="F372" s="152">
        <f t="shared" si="0"/>
        <v>75000</v>
      </c>
    </row>
    <row r="373" spans="1:6" ht="51">
      <c r="A373" s="161" t="s">
        <v>450</v>
      </c>
      <c r="B373" s="154" t="s">
        <v>649</v>
      </c>
      <c r="C373" s="154" t="s">
        <v>645</v>
      </c>
      <c r="D373" s="159" t="s">
        <v>449</v>
      </c>
      <c r="E373" s="157" t="s">
        <v>263</v>
      </c>
      <c r="F373" s="152">
        <f t="shared" si="0"/>
        <v>75000</v>
      </c>
    </row>
    <row r="374" spans="1:6" ht="63.75">
      <c r="A374" s="162" t="s">
        <v>448</v>
      </c>
      <c r="B374" s="154" t="s">
        <v>649</v>
      </c>
      <c r="C374" s="154" t="s">
        <v>645</v>
      </c>
      <c r="D374" s="159" t="s">
        <v>507</v>
      </c>
      <c r="E374" s="164" t="s">
        <v>263</v>
      </c>
      <c r="F374" s="152">
        <f t="shared" si="0"/>
        <v>75000</v>
      </c>
    </row>
    <row r="375" spans="1:6" ht="63.75">
      <c r="A375" s="27" t="s">
        <v>506</v>
      </c>
      <c r="B375" s="154" t="s">
        <v>649</v>
      </c>
      <c r="C375" s="154" t="s">
        <v>645</v>
      </c>
      <c r="D375" s="159" t="s">
        <v>505</v>
      </c>
      <c r="E375" s="164"/>
      <c r="F375" s="152">
        <f t="shared" si="0"/>
        <v>75000</v>
      </c>
    </row>
    <row r="376" spans="1:6" ht="51">
      <c r="A376" s="27" t="s">
        <v>504</v>
      </c>
      <c r="B376" s="154" t="s">
        <v>649</v>
      </c>
      <c r="C376" s="154" t="s">
        <v>645</v>
      </c>
      <c r="D376" s="159" t="s">
        <v>503</v>
      </c>
      <c r="E376" s="164"/>
      <c r="F376" s="152">
        <f t="shared" si="0"/>
        <v>75000</v>
      </c>
    </row>
    <row r="377" spans="1:6" ht="25.5">
      <c r="A377" s="165" t="s">
        <v>184</v>
      </c>
      <c r="B377" s="166" t="s">
        <v>649</v>
      </c>
      <c r="C377" s="166" t="s">
        <v>645</v>
      </c>
      <c r="D377" s="167" t="s">
        <v>503</v>
      </c>
      <c r="E377" s="189">
        <v>200</v>
      </c>
      <c r="F377" s="168">
        <v>75000</v>
      </c>
    </row>
    <row r="378" spans="1:6" ht="25.5">
      <c r="A378" s="146" t="s">
        <v>251</v>
      </c>
      <c r="B378" s="147" t="s">
        <v>675</v>
      </c>
      <c r="C378" s="148" t="s">
        <v>214</v>
      </c>
      <c r="D378" s="147" t="s">
        <v>263</v>
      </c>
      <c r="E378" s="147" t="s">
        <v>263</v>
      </c>
      <c r="F378" s="231">
        <f aca="true" t="shared" si="1" ref="F378:F383">F379</f>
        <v>44000</v>
      </c>
    </row>
    <row r="379" spans="1:6" ht="26.25" customHeight="1">
      <c r="A379" s="150" t="s">
        <v>252</v>
      </c>
      <c r="B379" s="151" t="s">
        <v>675</v>
      </c>
      <c r="C379" s="151" t="s">
        <v>643</v>
      </c>
      <c r="D379" s="171" t="s">
        <v>263</v>
      </c>
      <c r="E379" s="171" t="s">
        <v>263</v>
      </c>
      <c r="F379" s="152">
        <f t="shared" si="1"/>
        <v>44000</v>
      </c>
    </row>
    <row r="380" spans="1:6" ht="25.5">
      <c r="A380" s="161" t="s">
        <v>388</v>
      </c>
      <c r="B380" s="154" t="s">
        <v>675</v>
      </c>
      <c r="C380" s="154" t="s">
        <v>643</v>
      </c>
      <c r="D380" s="159" t="s">
        <v>529</v>
      </c>
      <c r="E380" s="157" t="s">
        <v>263</v>
      </c>
      <c r="F380" s="152">
        <f t="shared" si="1"/>
        <v>44000</v>
      </c>
    </row>
    <row r="381" spans="1:6" ht="38.25">
      <c r="A381" s="162" t="s">
        <v>712</v>
      </c>
      <c r="B381" s="154" t="s">
        <v>675</v>
      </c>
      <c r="C381" s="154" t="s">
        <v>643</v>
      </c>
      <c r="D381" s="159" t="s">
        <v>346</v>
      </c>
      <c r="E381" s="164" t="s">
        <v>263</v>
      </c>
      <c r="F381" s="152">
        <f t="shared" si="1"/>
        <v>44000</v>
      </c>
    </row>
    <row r="382" spans="1:6" ht="51">
      <c r="A382" s="24" t="s">
        <v>345</v>
      </c>
      <c r="B382" s="154" t="s">
        <v>675</v>
      </c>
      <c r="C382" s="154" t="s">
        <v>643</v>
      </c>
      <c r="D382" s="159" t="s">
        <v>347</v>
      </c>
      <c r="E382" s="164"/>
      <c r="F382" s="152">
        <f t="shared" si="1"/>
        <v>44000</v>
      </c>
    </row>
    <row r="383" spans="1:6" ht="12.75">
      <c r="A383" s="27" t="s">
        <v>348</v>
      </c>
      <c r="B383" s="154" t="s">
        <v>675</v>
      </c>
      <c r="C383" s="154" t="s">
        <v>643</v>
      </c>
      <c r="D383" s="159" t="s">
        <v>349</v>
      </c>
      <c r="E383" s="157" t="s">
        <v>263</v>
      </c>
      <c r="F383" s="152">
        <f t="shared" si="1"/>
        <v>44000</v>
      </c>
    </row>
    <row r="384" spans="1:6" ht="12.75">
      <c r="A384" s="165" t="s">
        <v>282</v>
      </c>
      <c r="B384" s="166" t="s">
        <v>675</v>
      </c>
      <c r="C384" s="166" t="s">
        <v>643</v>
      </c>
      <c r="D384" s="167" t="s">
        <v>349</v>
      </c>
      <c r="E384" s="166" t="s">
        <v>258</v>
      </c>
      <c r="F384" s="168">
        <f>57000-13000</f>
        <v>44000</v>
      </c>
    </row>
  </sheetData>
  <sheetProtection/>
  <mergeCells count="1">
    <mergeCell ref="B3:F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92"/>
  <sheetViews>
    <sheetView showGridLines="0" zoomScaleSheetLayoutView="100" zoomScalePageLayoutView="0" workbookViewId="0" topLeftCell="A1">
      <selection activeCell="G384" sqref="G384"/>
    </sheetView>
  </sheetViews>
  <sheetFormatPr defaultColWidth="9.140625" defaultRowHeight="12.75"/>
  <cols>
    <col min="1" max="1" width="47.57421875" style="119" customWidth="1"/>
    <col min="2" max="2" width="5.140625" style="119" bestFit="1" customWidth="1"/>
    <col min="3" max="4" width="3.8515625" style="119" customWidth="1"/>
    <col min="5" max="5" width="13.28125" style="119" customWidth="1"/>
    <col min="6" max="6" width="4.57421875" style="119" customWidth="1"/>
    <col min="7" max="7" width="14.421875" style="135" customWidth="1"/>
    <col min="8" max="8" width="16.7109375" style="119" bestFit="1" customWidth="1"/>
    <col min="9" max="9" width="11.57421875" style="119" bestFit="1" customWidth="1"/>
    <col min="10" max="16384" width="9.140625" style="119" customWidth="1"/>
  </cols>
  <sheetData>
    <row r="1" spans="1:7" ht="12.75">
      <c r="A1" s="115"/>
      <c r="B1" s="116"/>
      <c r="C1" s="117"/>
      <c r="D1" s="117"/>
      <c r="E1" s="117"/>
      <c r="F1" s="117"/>
      <c r="G1" s="118" t="s">
        <v>686</v>
      </c>
    </row>
    <row r="2" spans="1:7" ht="12.75">
      <c r="A2" s="115"/>
      <c r="B2" s="116"/>
      <c r="C2" s="117"/>
      <c r="D2" s="117"/>
      <c r="E2" s="117"/>
      <c r="F2" s="117"/>
      <c r="G2" s="57" t="s">
        <v>619</v>
      </c>
    </row>
    <row r="3" spans="1:7" ht="12.75">
      <c r="A3" s="115"/>
      <c r="B3" s="116"/>
      <c r="C3" s="117"/>
      <c r="D3" s="117"/>
      <c r="E3" s="120"/>
      <c r="F3" s="120"/>
      <c r="G3" s="58" t="s">
        <v>617</v>
      </c>
    </row>
    <row r="4" spans="1:7" ht="12.75">
      <c r="A4" s="121"/>
      <c r="B4" s="122"/>
      <c r="C4" s="117"/>
      <c r="D4" s="117"/>
      <c r="E4" s="117"/>
      <c r="F4" s="117"/>
      <c r="G4" s="123"/>
    </row>
    <row r="5" spans="1:7" ht="12.75">
      <c r="A5" s="124" t="s">
        <v>121</v>
      </c>
      <c r="B5" s="125"/>
      <c r="C5" s="125"/>
      <c r="D5" s="125"/>
      <c r="E5" s="125"/>
      <c r="F5" s="125"/>
      <c r="G5" s="126"/>
    </row>
    <row r="6" spans="1:7" ht="12.75">
      <c r="A6" s="127"/>
      <c r="B6" s="129"/>
      <c r="C6" s="129"/>
      <c r="D6" s="129"/>
      <c r="E6" s="129"/>
      <c r="F6" s="129"/>
      <c r="G6" s="130" t="s">
        <v>264</v>
      </c>
    </row>
    <row r="7" spans="1:7" ht="12.75">
      <c r="A7" s="131" t="s">
        <v>260</v>
      </c>
      <c r="B7" s="132" t="s">
        <v>684</v>
      </c>
      <c r="C7" s="132" t="s">
        <v>636</v>
      </c>
      <c r="D7" s="132" t="s">
        <v>637</v>
      </c>
      <c r="E7" s="132" t="s">
        <v>638</v>
      </c>
      <c r="F7" s="132" t="s">
        <v>639</v>
      </c>
      <c r="G7" s="133" t="s">
        <v>298</v>
      </c>
    </row>
    <row r="8" spans="1:9" ht="12.75">
      <c r="A8" s="131" t="s">
        <v>248</v>
      </c>
      <c r="B8" s="132" t="s">
        <v>261</v>
      </c>
      <c r="C8" s="132" t="s">
        <v>249</v>
      </c>
      <c r="D8" s="132" t="s">
        <v>640</v>
      </c>
      <c r="E8" s="132" t="s">
        <v>641</v>
      </c>
      <c r="F8" s="132" t="s">
        <v>642</v>
      </c>
      <c r="G8" s="133" t="s">
        <v>578</v>
      </c>
      <c r="H8" s="134"/>
      <c r="I8" s="135"/>
    </row>
    <row r="9" spans="1:9" ht="12.75">
      <c r="A9" s="136" t="s">
        <v>265</v>
      </c>
      <c r="B9" s="137"/>
      <c r="C9" s="137" t="s">
        <v>263</v>
      </c>
      <c r="D9" s="137" t="s">
        <v>263</v>
      </c>
      <c r="E9" s="137" t="s">
        <v>263</v>
      </c>
      <c r="F9" s="137" t="s">
        <v>263</v>
      </c>
      <c r="G9" s="138">
        <f>G10+G309+G384</f>
        <v>367369518.37</v>
      </c>
      <c r="H9" s="139"/>
      <c r="I9" s="140"/>
    </row>
    <row r="10" spans="1:9" ht="12.75">
      <c r="A10" s="141" t="s">
        <v>333</v>
      </c>
      <c r="B10" s="142" t="s">
        <v>407</v>
      </c>
      <c r="C10" s="143"/>
      <c r="D10" s="143"/>
      <c r="E10" s="143"/>
      <c r="F10" s="143"/>
      <c r="G10" s="144">
        <f>G11+G83+G89+G102+G133+G162+G168+G242+G261+G267+G302</f>
        <v>343631857.37</v>
      </c>
      <c r="H10" s="145"/>
      <c r="I10" s="140"/>
    </row>
    <row r="11" spans="1:9" ht="12.75">
      <c r="A11" s="146" t="s">
        <v>593</v>
      </c>
      <c r="B11" s="147"/>
      <c r="C11" s="147" t="s">
        <v>643</v>
      </c>
      <c r="D11" s="148" t="s">
        <v>214</v>
      </c>
      <c r="E11" s="147" t="s">
        <v>263</v>
      </c>
      <c r="F11" s="147" t="s">
        <v>263</v>
      </c>
      <c r="G11" s="149">
        <f>G12+G17+G27+G32+G37</f>
        <v>34681228</v>
      </c>
      <c r="I11" s="140"/>
    </row>
    <row r="12" spans="1:9" ht="38.25">
      <c r="A12" s="150" t="s">
        <v>644</v>
      </c>
      <c r="B12" s="151"/>
      <c r="C12" s="151" t="s">
        <v>643</v>
      </c>
      <c r="D12" s="151" t="s">
        <v>645</v>
      </c>
      <c r="E12" s="151" t="s">
        <v>263</v>
      </c>
      <c r="F12" s="151" t="s">
        <v>263</v>
      </c>
      <c r="G12" s="152">
        <f>G13</f>
        <v>1217683</v>
      </c>
      <c r="I12" s="140"/>
    </row>
    <row r="13" spans="1:9" ht="25.5">
      <c r="A13" s="153" t="s">
        <v>583</v>
      </c>
      <c r="B13" s="154"/>
      <c r="C13" s="154" t="s">
        <v>643</v>
      </c>
      <c r="D13" s="154" t="s">
        <v>645</v>
      </c>
      <c r="E13" s="154" t="s">
        <v>522</v>
      </c>
      <c r="F13" s="154" t="s">
        <v>263</v>
      </c>
      <c r="G13" s="152">
        <f>G14</f>
        <v>1217683</v>
      </c>
      <c r="I13" s="140"/>
    </row>
    <row r="14" spans="1:9" ht="12.75">
      <c r="A14" s="153" t="s">
        <v>685</v>
      </c>
      <c r="B14" s="154"/>
      <c r="C14" s="154" t="s">
        <v>643</v>
      </c>
      <c r="D14" s="154" t="s">
        <v>645</v>
      </c>
      <c r="E14" s="154" t="s">
        <v>523</v>
      </c>
      <c r="F14" s="155" t="s">
        <v>263</v>
      </c>
      <c r="G14" s="152">
        <f>G15</f>
        <v>1217683</v>
      </c>
      <c r="I14" s="140"/>
    </row>
    <row r="15" spans="1:9" ht="25.5">
      <c r="A15" s="155" t="s">
        <v>613</v>
      </c>
      <c r="B15" s="154"/>
      <c r="C15" s="154" t="s">
        <v>643</v>
      </c>
      <c r="D15" s="154" t="s">
        <v>645</v>
      </c>
      <c r="E15" s="154" t="s">
        <v>524</v>
      </c>
      <c r="F15" s="154" t="s">
        <v>263</v>
      </c>
      <c r="G15" s="152">
        <f>G16</f>
        <v>1217683</v>
      </c>
      <c r="I15" s="140"/>
    </row>
    <row r="16" spans="1:9" ht="63.75">
      <c r="A16" s="153" t="s">
        <v>268</v>
      </c>
      <c r="B16" s="154"/>
      <c r="C16" s="154" t="s">
        <v>643</v>
      </c>
      <c r="D16" s="154" t="s">
        <v>645</v>
      </c>
      <c r="E16" s="154" t="s">
        <v>524</v>
      </c>
      <c r="F16" s="154" t="s">
        <v>592</v>
      </c>
      <c r="G16" s="156">
        <v>1217683</v>
      </c>
      <c r="I16" s="140"/>
    </row>
    <row r="17" spans="1:9" ht="51">
      <c r="A17" s="150" t="s">
        <v>602</v>
      </c>
      <c r="B17" s="151"/>
      <c r="C17" s="151" t="s">
        <v>643</v>
      </c>
      <c r="D17" s="151" t="s">
        <v>646</v>
      </c>
      <c r="E17" s="151" t="s">
        <v>263</v>
      </c>
      <c r="F17" s="151" t="s">
        <v>263</v>
      </c>
      <c r="G17" s="152">
        <f>G18</f>
        <v>10953623</v>
      </c>
      <c r="I17" s="140"/>
    </row>
    <row r="18" spans="1:9" ht="25.5">
      <c r="A18" s="153" t="s">
        <v>170</v>
      </c>
      <c r="B18" s="154"/>
      <c r="C18" s="154" t="s">
        <v>643</v>
      </c>
      <c r="D18" s="154" t="s">
        <v>646</v>
      </c>
      <c r="E18" s="154" t="s">
        <v>525</v>
      </c>
      <c r="F18" s="154" t="s">
        <v>263</v>
      </c>
      <c r="G18" s="152">
        <f>G19</f>
        <v>10953623</v>
      </c>
      <c r="I18" s="140"/>
    </row>
    <row r="19" spans="1:9" ht="25.5">
      <c r="A19" s="153" t="s">
        <v>175</v>
      </c>
      <c r="B19" s="154"/>
      <c r="C19" s="154" t="s">
        <v>643</v>
      </c>
      <c r="D19" s="154" t="s">
        <v>646</v>
      </c>
      <c r="E19" s="154" t="s">
        <v>526</v>
      </c>
      <c r="F19" s="155" t="s">
        <v>263</v>
      </c>
      <c r="G19" s="152">
        <f>G20+G23</f>
        <v>10953623</v>
      </c>
      <c r="I19" s="140"/>
    </row>
    <row r="20" spans="1:9" ht="38.25">
      <c r="A20" s="153" t="s">
        <v>293</v>
      </c>
      <c r="B20" s="154"/>
      <c r="C20" s="154" t="s">
        <v>643</v>
      </c>
      <c r="D20" s="154" t="s">
        <v>646</v>
      </c>
      <c r="E20" s="154" t="s">
        <v>527</v>
      </c>
      <c r="F20" s="155"/>
      <c r="G20" s="152">
        <f>SUM(G21:G22)</f>
        <v>296000</v>
      </c>
      <c r="I20" s="140"/>
    </row>
    <row r="21" spans="1:9" ht="63.75">
      <c r="A21" s="153" t="s">
        <v>268</v>
      </c>
      <c r="B21" s="154"/>
      <c r="C21" s="154" t="s">
        <v>643</v>
      </c>
      <c r="D21" s="154" t="s">
        <v>646</v>
      </c>
      <c r="E21" s="154" t="s">
        <v>527</v>
      </c>
      <c r="F21" s="155">
        <v>100</v>
      </c>
      <c r="G21" s="156">
        <v>285000</v>
      </c>
      <c r="I21" s="140"/>
    </row>
    <row r="22" spans="1:9" ht="25.5">
      <c r="A22" s="153" t="s">
        <v>184</v>
      </c>
      <c r="B22" s="154"/>
      <c r="C22" s="154" t="s">
        <v>643</v>
      </c>
      <c r="D22" s="154" t="s">
        <v>646</v>
      </c>
      <c r="E22" s="154" t="s">
        <v>527</v>
      </c>
      <c r="F22" s="155">
        <v>200</v>
      </c>
      <c r="G22" s="156">
        <v>11000</v>
      </c>
      <c r="I22" s="140"/>
    </row>
    <row r="23" spans="1:9" ht="25.5">
      <c r="A23" s="155" t="s">
        <v>613</v>
      </c>
      <c r="B23" s="154"/>
      <c r="C23" s="154" t="s">
        <v>643</v>
      </c>
      <c r="D23" s="154" t="s">
        <v>646</v>
      </c>
      <c r="E23" s="154" t="s">
        <v>528</v>
      </c>
      <c r="F23" s="154" t="s">
        <v>263</v>
      </c>
      <c r="G23" s="152">
        <f>SUM(G24:G26)</f>
        <v>10657623</v>
      </c>
      <c r="I23" s="140"/>
    </row>
    <row r="24" spans="1:9" ht="63.75">
      <c r="A24" s="153" t="s">
        <v>268</v>
      </c>
      <c r="B24" s="154"/>
      <c r="C24" s="154" t="s">
        <v>643</v>
      </c>
      <c r="D24" s="154" t="s">
        <v>646</v>
      </c>
      <c r="E24" s="154" t="s">
        <v>528</v>
      </c>
      <c r="F24" s="154">
        <v>100</v>
      </c>
      <c r="G24" s="156">
        <v>9736676</v>
      </c>
      <c r="I24" s="140"/>
    </row>
    <row r="25" spans="1:9" ht="25.5">
      <c r="A25" s="153" t="s">
        <v>184</v>
      </c>
      <c r="B25" s="154"/>
      <c r="C25" s="154" t="s">
        <v>643</v>
      </c>
      <c r="D25" s="154" t="s">
        <v>646</v>
      </c>
      <c r="E25" s="154" t="s">
        <v>528</v>
      </c>
      <c r="F25" s="154">
        <v>200</v>
      </c>
      <c r="G25" s="156">
        <v>786632</v>
      </c>
      <c r="I25" s="140"/>
    </row>
    <row r="26" spans="1:9" ht="12.75">
      <c r="A26" s="153" t="s">
        <v>253</v>
      </c>
      <c r="B26" s="154"/>
      <c r="C26" s="154" t="s">
        <v>643</v>
      </c>
      <c r="D26" s="154" t="s">
        <v>646</v>
      </c>
      <c r="E26" s="154" t="s">
        <v>528</v>
      </c>
      <c r="F26" s="154">
        <v>800</v>
      </c>
      <c r="G26" s="156">
        <v>134315</v>
      </c>
      <c r="I26" s="140"/>
    </row>
    <row r="27" spans="1:9" ht="12.75">
      <c r="A27" s="14" t="s">
        <v>238</v>
      </c>
      <c r="B27" s="15"/>
      <c r="C27" s="15" t="s">
        <v>643</v>
      </c>
      <c r="D27" s="310" t="s">
        <v>59</v>
      </c>
      <c r="E27" s="15"/>
      <c r="F27" s="15"/>
      <c r="G27" s="156">
        <v>9720</v>
      </c>
      <c r="I27" s="140"/>
    </row>
    <row r="28" spans="1:9" ht="25.5">
      <c r="A28" s="311" t="s">
        <v>39</v>
      </c>
      <c r="B28" s="15"/>
      <c r="C28" s="15" t="s">
        <v>643</v>
      </c>
      <c r="D28" s="310" t="s">
        <v>59</v>
      </c>
      <c r="E28" s="17" t="s">
        <v>135</v>
      </c>
      <c r="F28" s="15"/>
      <c r="G28" s="156">
        <v>9720</v>
      </c>
      <c r="I28" s="140"/>
    </row>
    <row r="29" spans="1:9" ht="25.5">
      <c r="A29" s="13" t="s">
        <v>40</v>
      </c>
      <c r="B29" s="15"/>
      <c r="C29" s="15" t="s">
        <v>643</v>
      </c>
      <c r="D29" s="310" t="s">
        <v>59</v>
      </c>
      <c r="E29" s="17" t="s">
        <v>137</v>
      </c>
      <c r="F29" s="15"/>
      <c r="G29" s="156">
        <v>9720</v>
      </c>
      <c r="I29" s="140"/>
    </row>
    <row r="30" spans="1:9" ht="51">
      <c r="A30" s="13" t="s">
        <v>239</v>
      </c>
      <c r="B30" s="15"/>
      <c r="C30" s="15" t="s">
        <v>643</v>
      </c>
      <c r="D30" s="310" t="s">
        <v>59</v>
      </c>
      <c r="E30" s="17" t="s">
        <v>240</v>
      </c>
      <c r="F30" s="15"/>
      <c r="G30" s="156">
        <v>9720</v>
      </c>
      <c r="I30" s="140"/>
    </row>
    <row r="31" spans="1:9" ht="25.5">
      <c r="A31" s="14" t="s">
        <v>184</v>
      </c>
      <c r="B31" s="15"/>
      <c r="C31" s="15" t="s">
        <v>643</v>
      </c>
      <c r="D31" s="310" t="s">
        <v>59</v>
      </c>
      <c r="E31" s="17" t="s">
        <v>240</v>
      </c>
      <c r="F31" s="15">
        <v>200</v>
      </c>
      <c r="G31" s="156">
        <v>9720</v>
      </c>
      <c r="I31" s="140"/>
    </row>
    <row r="32" spans="1:9" ht="12.75">
      <c r="A32" s="150" t="s">
        <v>648</v>
      </c>
      <c r="B32" s="151"/>
      <c r="C32" s="151" t="s">
        <v>643</v>
      </c>
      <c r="D32" s="151" t="s">
        <v>649</v>
      </c>
      <c r="E32" s="151" t="s">
        <v>263</v>
      </c>
      <c r="F32" s="151" t="s">
        <v>263</v>
      </c>
      <c r="G32" s="152">
        <f>G33</f>
        <v>79630</v>
      </c>
      <c r="I32" s="140"/>
    </row>
    <row r="33" spans="1:9" ht="17.25" customHeight="1">
      <c r="A33" s="153" t="s">
        <v>391</v>
      </c>
      <c r="B33" s="154"/>
      <c r="C33" s="154" t="s">
        <v>643</v>
      </c>
      <c r="D33" s="154" t="s">
        <v>649</v>
      </c>
      <c r="E33" s="154" t="s">
        <v>535</v>
      </c>
      <c r="F33" s="154" t="s">
        <v>263</v>
      </c>
      <c r="G33" s="152">
        <f>G34</f>
        <v>79630</v>
      </c>
      <c r="I33" s="140"/>
    </row>
    <row r="34" spans="1:9" ht="12.75">
      <c r="A34" s="153" t="s">
        <v>648</v>
      </c>
      <c r="B34" s="154"/>
      <c r="C34" s="154" t="s">
        <v>643</v>
      </c>
      <c r="D34" s="154" t="s">
        <v>649</v>
      </c>
      <c r="E34" s="154" t="s">
        <v>536</v>
      </c>
      <c r="F34" s="155" t="s">
        <v>263</v>
      </c>
      <c r="G34" s="152">
        <f>G35</f>
        <v>79630</v>
      </c>
      <c r="I34" s="140"/>
    </row>
    <row r="35" spans="1:9" ht="12.75">
      <c r="A35" s="155" t="s">
        <v>616</v>
      </c>
      <c r="B35" s="154"/>
      <c r="C35" s="154" t="s">
        <v>643</v>
      </c>
      <c r="D35" s="154" t="s">
        <v>649</v>
      </c>
      <c r="E35" s="154" t="s">
        <v>122</v>
      </c>
      <c r="F35" s="157" t="s">
        <v>263</v>
      </c>
      <c r="G35" s="152">
        <f>G36</f>
        <v>79630</v>
      </c>
      <c r="I35" s="140"/>
    </row>
    <row r="36" spans="1:9" ht="12.75">
      <c r="A36" s="153" t="s">
        <v>253</v>
      </c>
      <c r="B36" s="154"/>
      <c r="C36" s="154" t="s">
        <v>643</v>
      </c>
      <c r="D36" s="154" t="s">
        <v>649</v>
      </c>
      <c r="E36" s="154" t="s">
        <v>122</v>
      </c>
      <c r="F36" s="154" t="s">
        <v>254</v>
      </c>
      <c r="G36" s="156">
        <v>79630</v>
      </c>
      <c r="I36" s="140"/>
    </row>
    <row r="37" spans="1:9" ht="12.75">
      <c r="A37" s="150" t="s">
        <v>173</v>
      </c>
      <c r="B37" s="151"/>
      <c r="C37" s="151" t="s">
        <v>643</v>
      </c>
      <c r="D37" s="151" t="s">
        <v>675</v>
      </c>
      <c r="E37" s="151" t="s">
        <v>263</v>
      </c>
      <c r="F37" s="151" t="s">
        <v>263</v>
      </c>
      <c r="G37" s="152">
        <f>G38+G45+G56+G61+G65+G82</f>
        <v>22420572</v>
      </c>
      <c r="I37" s="140"/>
    </row>
    <row r="38" spans="1:9" ht="51">
      <c r="A38" s="158" t="s">
        <v>178</v>
      </c>
      <c r="B38" s="154"/>
      <c r="C38" s="154" t="s">
        <v>643</v>
      </c>
      <c r="D38" s="154" t="s">
        <v>675</v>
      </c>
      <c r="E38" s="159" t="s">
        <v>129</v>
      </c>
      <c r="F38" s="154" t="s">
        <v>263</v>
      </c>
      <c r="G38" s="152">
        <f>G39</f>
        <v>2242430</v>
      </c>
      <c r="I38" s="140"/>
    </row>
    <row r="39" spans="1:9" ht="76.5">
      <c r="A39" s="160" t="s">
        <v>474</v>
      </c>
      <c r="B39" s="154"/>
      <c r="C39" s="154" t="s">
        <v>643</v>
      </c>
      <c r="D39" s="154" t="s">
        <v>675</v>
      </c>
      <c r="E39" s="159" t="s">
        <v>130</v>
      </c>
      <c r="F39" s="157" t="s">
        <v>263</v>
      </c>
      <c r="G39" s="152">
        <f>G40</f>
        <v>2242430</v>
      </c>
      <c r="I39" s="140"/>
    </row>
    <row r="40" spans="1:9" ht="41.25" customHeight="1">
      <c r="A40" s="25" t="s">
        <v>158</v>
      </c>
      <c r="B40" s="154"/>
      <c r="C40" s="154" t="s">
        <v>643</v>
      </c>
      <c r="D40" s="154" t="s">
        <v>675</v>
      </c>
      <c r="E40" s="159" t="s">
        <v>131</v>
      </c>
      <c r="F40" s="157"/>
      <c r="G40" s="152">
        <f>G41</f>
        <v>2242430</v>
      </c>
      <c r="I40" s="140"/>
    </row>
    <row r="41" spans="1:9" ht="12.75">
      <c r="A41" s="155" t="s">
        <v>295</v>
      </c>
      <c r="B41" s="154"/>
      <c r="C41" s="154" t="s">
        <v>643</v>
      </c>
      <c r="D41" s="154" t="s">
        <v>675</v>
      </c>
      <c r="E41" s="159" t="s">
        <v>132</v>
      </c>
      <c r="F41" s="157" t="s">
        <v>263</v>
      </c>
      <c r="G41" s="152">
        <f>SUM(G42:G44)</f>
        <v>2242430</v>
      </c>
      <c r="I41" s="140"/>
    </row>
    <row r="42" spans="1:9" ht="25.5">
      <c r="A42" s="153" t="s">
        <v>184</v>
      </c>
      <c r="B42" s="154"/>
      <c r="C42" s="154" t="s">
        <v>643</v>
      </c>
      <c r="D42" s="154" t="s">
        <v>675</v>
      </c>
      <c r="E42" s="159" t="s">
        <v>132</v>
      </c>
      <c r="F42" s="154" t="s">
        <v>250</v>
      </c>
      <c r="G42" s="156">
        <v>1825083</v>
      </c>
      <c r="I42" s="140"/>
    </row>
    <row r="43" spans="1:9" ht="25.5">
      <c r="A43" s="109" t="s">
        <v>546</v>
      </c>
      <c r="B43" s="154"/>
      <c r="C43" s="154" t="s">
        <v>643</v>
      </c>
      <c r="D43" s="154" t="s">
        <v>675</v>
      </c>
      <c r="E43" s="159" t="s">
        <v>132</v>
      </c>
      <c r="F43" s="154">
        <v>400</v>
      </c>
      <c r="G43" s="156">
        <v>311000</v>
      </c>
      <c r="I43" s="140"/>
    </row>
    <row r="44" spans="1:9" ht="12.75">
      <c r="A44" s="153" t="s">
        <v>253</v>
      </c>
      <c r="B44" s="154"/>
      <c r="C44" s="154" t="s">
        <v>643</v>
      </c>
      <c r="D44" s="154" t="s">
        <v>675</v>
      </c>
      <c r="E44" s="159" t="s">
        <v>132</v>
      </c>
      <c r="F44" s="154">
        <v>800</v>
      </c>
      <c r="G44" s="156">
        <v>106347</v>
      </c>
      <c r="I44" s="140"/>
    </row>
    <row r="45" spans="1:9" ht="52.5" customHeight="1">
      <c r="A45" s="161" t="s">
        <v>545</v>
      </c>
      <c r="B45" s="154"/>
      <c r="C45" s="154" t="s">
        <v>643</v>
      </c>
      <c r="D45" s="154" t="s">
        <v>675</v>
      </c>
      <c r="E45" s="154" t="s">
        <v>133</v>
      </c>
      <c r="F45" s="154"/>
      <c r="G45" s="152">
        <f>G46</f>
        <v>466000</v>
      </c>
      <c r="I45" s="140"/>
    </row>
    <row r="46" spans="1:9" ht="76.5">
      <c r="A46" s="162" t="s">
        <v>555</v>
      </c>
      <c r="B46" s="154"/>
      <c r="C46" s="154" t="s">
        <v>643</v>
      </c>
      <c r="D46" s="154" t="s">
        <v>675</v>
      </c>
      <c r="E46" s="154" t="s">
        <v>134</v>
      </c>
      <c r="F46" s="154"/>
      <c r="G46" s="152">
        <f>G47+G53</f>
        <v>466000</v>
      </c>
      <c r="I46" s="140"/>
    </row>
    <row r="47" spans="1:9" ht="38.25">
      <c r="A47" s="153" t="s">
        <v>15</v>
      </c>
      <c r="B47" s="154"/>
      <c r="C47" s="154" t="s">
        <v>643</v>
      </c>
      <c r="D47" s="154" t="s">
        <v>675</v>
      </c>
      <c r="E47" s="154" t="s">
        <v>541</v>
      </c>
      <c r="F47" s="154"/>
      <c r="G47" s="152">
        <f>G48+G51</f>
        <v>446000</v>
      </c>
      <c r="I47" s="140"/>
    </row>
    <row r="48" spans="1:9" ht="51">
      <c r="A48" s="153" t="s">
        <v>540</v>
      </c>
      <c r="B48" s="154"/>
      <c r="C48" s="154" t="s">
        <v>643</v>
      </c>
      <c r="D48" s="154" t="s">
        <v>675</v>
      </c>
      <c r="E48" s="154" t="s">
        <v>204</v>
      </c>
      <c r="F48" s="154"/>
      <c r="G48" s="152">
        <f>SUM(G49:G50)</f>
        <v>296000</v>
      </c>
      <c r="I48" s="140"/>
    </row>
    <row r="49" spans="1:9" ht="63.75">
      <c r="A49" s="153" t="s">
        <v>268</v>
      </c>
      <c r="B49" s="154"/>
      <c r="C49" s="154" t="s">
        <v>643</v>
      </c>
      <c r="D49" s="154" t="s">
        <v>675</v>
      </c>
      <c r="E49" s="154" t="s">
        <v>204</v>
      </c>
      <c r="F49" s="154">
        <v>100</v>
      </c>
      <c r="G49" s="156">
        <v>294350</v>
      </c>
      <c r="I49" s="140"/>
    </row>
    <row r="50" spans="1:9" ht="25.5">
      <c r="A50" s="153" t="s">
        <v>184</v>
      </c>
      <c r="B50" s="154"/>
      <c r="C50" s="154" t="s">
        <v>643</v>
      </c>
      <c r="D50" s="154" t="s">
        <v>675</v>
      </c>
      <c r="E50" s="154" t="s">
        <v>204</v>
      </c>
      <c r="F50" s="154">
        <v>200</v>
      </c>
      <c r="G50" s="156">
        <v>1650</v>
      </c>
      <c r="I50" s="140"/>
    </row>
    <row r="51" spans="1:9" ht="36">
      <c r="A51" s="31" t="s">
        <v>231</v>
      </c>
      <c r="B51" s="154"/>
      <c r="C51" s="154" t="s">
        <v>643</v>
      </c>
      <c r="D51" s="154" t="s">
        <v>675</v>
      </c>
      <c r="E51" s="154" t="s">
        <v>732</v>
      </c>
      <c r="F51" s="154"/>
      <c r="G51" s="156">
        <v>150000</v>
      </c>
      <c r="I51" s="140"/>
    </row>
    <row r="52" spans="1:9" ht="25.5">
      <c r="A52" s="153" t="s">
        <v>184</v>
      </c>
      <c r="B52" s="154"/>
      <c r="C52" s="154" t="s">
        <v>643</v>
      </c>
      <c r="D52" s="154" t="s">
        <v>675</v>
      </c>
      <c r="E52" s="154" t="s">
        <v>732</v>
      </c>
      <c r="F52" s="154">
        <v>200</v>
      </c>
      <c r="G52" s="156">
        <v>150000</v>
      </c>
      <c r="I52" s="140"/>
    </row>
    <row r="53" spans="1:9" ht="38.25">
      <c r="A53" s="153" t="s">
        <v>16</v>
      </c>
      <c r="B53" s="154"/>
      <c r="C53" s="154" t="s">
        <v>643</v>
      </c>
      <c r="D53" s="154" t="s">
        <v>675</v>
      </c>
      <c r="E53" s="154" t="s">
        <v>235</v>
      </c>
      <c r="F53" s="154"/>
      <c r="G53" s="152">
        <f>G54</f>
        <v>20000</v>
      </c>
      <c r="I53" s="140"/>
    </row>
    <row r="54" spans="1:9" ht="36">
      <c r="A54" s="31" t="s">
        <v>231</v>
      </c>
      <c r="B54" s="154"/>
      <c r="C54" s="154" t="s">
        <v>643</v>
      </c>
      <c r="D54" s="154" t="s">
        <v>675</v>
      </c>
      <c r="E54" s="154" t="s">
        <v>232</v>
      </c>
      <c r="F54" s="154"/>
      <c r="G54" s="152">
        <f>G55</f>
        <v>20000</v>
      </c>
      <c r="I54" s="140"/>
    </row>
    <row r="55" spans="1:9" ht="25.5">
      <c r="A55" s="153" t="s">
        <v>184</v>
      </c>
      <c r="B55" s="154"/>
      <c r="C55" s="154" t="s">
        <v>643</v>
      </c>
      <c r="D55" s="154" t="s">
        <v>675</v>
      </c>
      <c r="E55" s="154" t="s">
        <v>232</v>
      </c>
      <c r="F55" s="154">
        <v>200</v>
      </c>
      <c r="G55" s="156">
        <v>20000</v>
      </c>
      <c r="I55" s="140"/>
    </row>
    <row r="56" spans="1:9" ht="38.25" customHeight="1">
      <c r="A56" s="161" t="s">
        <v>475</v>
      </c>
      <c r="B56" s="154"/>
      <c r="C56" s="154" t="s">
        <v>643</v>
      </c>
      <c r="D56" s="154" t="s">
        <v>675</v>
      </c>
      <c r="E56" s="154" t="s">
        <v>288</v>
      </c>
      <c r="F56" s="154"/>
      <c r="G56" s="152">
        <f>G57</f>
        <v>30000</v>
      </c>
      <c r="I56" s="140"/>
    </row>
    <row r="57" spans="1:9" ht="63.75">
      <c r="A57" s="162" t="s">
        <v>476</v>
      </c>
      <c r="B57" s="154"/>
      <c r="C57" s="154" t="s">
        <v>643</v>
      </c>
      <c r="D57" s="154" t="s">
        <v>675</v>
      </c>
      <c r="E57" s="154" t="s">
        <v>289</v>
      </c>
      <c r="F57" s="154"/>
      <c r="G57" s="152">
        <f>G58</f>
        <v>30000</v>
      </c>
      <c r="I57" s="140"/>
    </row>
    <row r="58" spans="1:9" ht="38.25">
      <c r="A58" s="153" t="s">
        <v>338</v>
      </c>
      <c r="B58" s="154"/>
      <c r="C58" s="154" t="s">
        <v>643</v>
      </c>
      <c r="D58" s="154" t="s">
        <v>675</v>
      </c>
      <c r="E58" s="154" t="s">
        <v>339</v>
      </c>
      <c r="F58" s="154"/>
      <c r="G58" s="152">
        <f>G59</f>
        <v>30000</v>
      </c>
      <c r="I58" s="140"/>
    </row>
    <row r="59" spans="1:9" ht="38.25">
      <c r="A59" s="153" t="s">
        <v>343</v>
      </c>
      <c r="B59" s="154"/>
      <c r="C59" s="154" t="s">
        <v>643</v>
      </c>
      <c r="D59" s="154" t="s">
        <v>675</v>
      </c>
      <c r="E59" s="154" t="s">
        <v>340</v>
      </c>
      <c r="F59" s="154"/>
      <c r="G59" s="152">
        <f>G60</f>
        <v>30000</v>
      </c>
      <c r="I59" s="140"/>
    </row>
    <row r="60" spans="1:9" ht="25.5">
      <c r="A60" s="153" t="s">
        <v>184</v>
      </c>
      <c r="B60" s="154"/>
      <c r="C60" s="154" t="s">
        <v>643</v>
      </c>
      <c r="D60" s="154" t="s">
        <v>675</v>
      </c>
      <c r="E60" s="154" t="s">
        <v>340</v>
      </c>
      <c r="F60" s="154">
        <v>200</v>
      </c>
      <c r="G60" s="156">
        <v>30000</v>
      </c>
      <c r="I60" s="140"/>
    </row>
    <row r="61" spans="1:9" ht="25.5">
      <c r="A61" s="153" t="s">
        <v>632</v>
      </c>
      <c r="B61" s="154"/>
      <c r="C61" s="154" t="s">
        <v>643</v>
      </c>
      <c r="D61" s="154" t="s">
        <v>675</v>
      </c>
      <c r="E61" s="159" t="s">
        <v>631</v>
      </c>
      <c r="F61" s="154"/>
      <c r="G61" s="156">
        <f>G62</f>
        <v>61500</v>
      </c>
      <c r="I61" s="140"/>
    </row>
    <row r="62" spans="1:9" ht="12.75">
      <c r="A62" s="162" t="s">
        <v>630</v>
      </c>
      <c r="B62" s="154"/>
      <c r="C62" s="154" t="s">
        <v>643</v>
      </c>
      <c r="D62" s="154" t="s">
        <v>675</v>
      </c>
      <c r="E62" s="159" t="s">
        <v>629</v>
      </c>
      <c r="F62" s="154"/>
      <c r="G62" s="156">
        <f>G63</f>
        <v>61500</v>
      </c>
      <c r="I62" s="140"/>
    </row>
    <row r="63" spans="1:9" ht="25.5">
      <c r="A63" s="155" t="s">
        <v>157</v>
      </c>
      <c r="B63" s="154"/>
      <c r="C63" s="154" t="s">
        <v>643</v>
      </c>
      <c r="D63" s="154" t="s">
        <v>675</v>
      </c>
      <c r="E63" s="159" t="s">
        <v>600</v>
      </c>
      <c r="F63" s="154"/>
      <c r="G63" s="156">
        <f>G64</f>
        <v>61500</v>
      </c>
      <c r="I63" s="140"/>
    </row>
    <row r="64" spans="1:9" ht="12.75">
      <c r="A64" s="153" t="s">
        <v>253</v>
      </c>
      <c r="B64" s="154"/>
      <c r="C64" s="154" t="s">
        <v>643</v>
      </c>
      <c r="D64" s="154" t="s">
        <v>675</v>
      </c>
      <c r="E64" s="159" t="s">
        <v>600</v>
      </c>
      <c r="F64" s="154">
        <v>800</v>
      </c>
      <c r="G64" s="156">
        <v>61500</v>
      </c>
      <c r="I64" s="140"/>
    </row>
    <row r="65" spans="1:9" ht="25.5">
      <c r="A65" s="161" t="s">
        <v>39</v>
      </c>
      <c r="B65" s="154"/>
      <c r="C65" s="154" t="s">
        <v>643</v>
      </c>
      <c r="D65" s="154" t="s">
        <v>675</v>
      </c>
      <c r="E65" s="159" t="s">
        <v>135</v>
      </c>
      <c r="F65" s="157" t="s">
        <v>263</v>
      </c>
      <c r="G65" s="152">
        <f>G66</f>
        <v>19560642</v>
      </c>
      <c r="I65" s="140"/>
    </row>
    <row r="66" spans="1:9" ht="25.5">
      <c r="A66" s="162" t="s">
        <v>40</v>
      </c>
      <c r="B66" s="154"/>
      <c r="C66" s="154" t="s">
        <v>643</v>
      </c>
      <c r="D66" s="154" t="s">
        <v>675</v>
      </c>
      <c r="E66" s="163" t="s">
        <v>137</v>
      </c>
      <c r="F66" s="164" t="s">
        <v>263</v>
      </c>
      <c r="G66" s="152">
        <f>G67+G71+G74+G76</f>
        <v>19560642</v>
      </c>
      <c r="I66" s="140"/>
    </row>
    <row r="67" spans="1:9" ht="25.5">
      <c r="A67" s="155" t="s">
        <v>283</v>
      </c>
      <c r="B67" s="154"/>
      <c r="C67" s="154" t="s">
        <v>643</v>
      </c>
      <c r="D67" s="154" t="s">
        <v>675</v>
      </c>
      <c r="E67" s="159" t="s">
        <v>138</v>
      </c>
      <c r="F67" s="157" t="s">
        <v>263</v>
      </c>
      <c r="G67" s="152">
        <f>SUM(G68:G70)</f>
        <v>17013755</v>
      </c>
      <c r="I67" s="140"/>
    </row>
    <row r="68" spans="1:9" ht="63.75">
      <c r="A68" s="153" t="s">
        <v>268</v>
      </c>
      <c r="B68" s="154"/>
      <c r="C68" s="154" t="s">
        <v>643</v>
      </c>
      <c r="D68" s="154" t="s">
        <v>675</v>
      </c>
      <c r="E68" s="159" t="s">
        <v>138</v>
      </c>
      <c r="F68" s="154" t="s">
        <v>592</v>
      </c>
      <c r="G68" s="156">
        <v>16441716</v>
      </c>
      <c r="I68" s="140"/>
    </row>
    <row r="69" spans="1:9" ht="25.5">
      <c r="A69" s="153" t="s">
        <v>184</v>
      </c>
      <c r="B69" s="154"/>
      <c r="C69" s="154" t="s">
        <v>643</v>
      </c>
      <c r="D69" s="154" t="s">
        <v>675</v>
      </c>
      <c r="E69" s="159" t="s">
        <v>138</v>
      </c>
      <c r="F69" s="154" t="s">
        <v>250</v>
      </c>
      <c r="G69" s="156">
        <v>551200</v>
      </c>
      <c r="I69" s="140"/>
    </row>
    <row r="70" spans="1:9" ht="12.75">
      <c r="A70" s="153" t="s">
        <v>253</v>
      </c>
      <c r="B70" s="154"/>
      <c r="C70" s="154" t="s">
        <v>643</v>
      </c>
      <c r="D70" s="154" t="s">
        <v>675</v>
      </c>
      <c r="E70" s="159" t="s">
        <v>138</v>
      </c>
      <c r="F70" s="154" t="s">
        <v>254</v>
      </c>
      <c r="G70" s="156">
        <v>20839</v>
      </c>
      <c r="I70" s="140"/>
    </row>
    <row r="71" spans="1:9" ht="25.5">
      <c r="A71" s="155" t="s">
        <v>157</v>
      </c>
      <c r="B71" s="154"/>
      <c r="C71" s="154" t="s">
        <v>643</v>
      </c>
      <c r="D71" s="154" t="s">
        <v>675</v>
      </c>
      <c r="E71" s="159" t="s">
        <v>635</v>
      </c>
      <c r="F71" s="154"/>
      <c r="G71" s="156">
        <v>2098887</v>
      </c>
      <c r="I71" s="140"/>
    </row>
    <row r="72" spans="1:9" ht="15.75" customHeight="1">
      <c r="A72" s="165" t="s">
        <v>257</v>
      </c>
      <c r="B72" s="154"/>
      <c r="C72" s="154" t="s">
        <v>643</v>
      </c>
      <c r="D72" s="154" t="s">
        <v>675</v>
      </c>
      <c r="E72" s="159" t="s">
        <v>635</v>
      </c>
      <c r="F72" s="154">
        <v>300</v>
      </c>
      <c r="G72" s="156">
        <v>5000</v>
      </c>
      <c r="I72" s="140"/>
    </row>
    <row r="73" spans="1:9" ht="12.75">
      <c r="A73" s="153" t="s">
        <v>253</v>
      </c>
      <c r="B73" s="154"/>
      <c r="C73" s="154" t="s">
        <v>643</v>
      </c>
      <c r="D73" s="154" t="s">
        <v>675</v>
      </c>
      <c r="E73" s="159" t="s">
        <v>635</v>
      </c>
      <c r="F73" s="154">
        <v>800</v>
      </c>
      <c r="G73" s="156">
        <v>2093887</v>
      </c>
      <c r="I73" s="140"/>
    </row>
    <row r="74" spans="1:9" ht="25.5">
      <c r="A74" s="155" t="s">
        <v>216</v>
      </c>
      <c r="B74" s="154"/>
      <c r="C74" s="154" t="s">
        <v>643</v>
      </c>
      <c r="D74" s="154" t="s">
        <v>675</v>
      </c>
      <c r="E74" s="159" t="s">
        <v>139</v>
      </c>
      <c r="F74" s="157" t="s">
        <v>263</v>
      </c>
      <c r="G74" s="152">
        <f>G75</f>
        <v>300000</v>
      </c>
      <c r="I74" s="140"/>
    </row>
    <row r="75" spans="1:9" ht="25.5">
      <c r="A75" s="153" t="s">
        <v>184</v>
      </c>
      <c r="B75" s="154"/>
      <c r="C75" s="154" t="s">
        <v>643</v>
      </c>
      <c r="D75" s="154" t="s">
        <v>675</v>
      </c>
      <c r="E75" s="159" t="s">
        <v>139</v>
      </c>
      <c r="F75" s="159">
        <v>200</v>
      </c>
      <c r="G75" s="156">
        <v>300000</v>
      </c>
      <c r="I75" s="140"/>
    </row>
    <row r="76" spans="1:9" ht="63.75">
      <c r="A76" s="36" t="s">
        <v>394</v>
      </c>
      <c r="B76" s="154"/>
      <c r="C76" s="154" t="s">
        <v>643</v>
      </c>
      <c r="D76" s="154" t="s">
        <v>675</v>
      </c>
      <c r="E76" s="159" t="s">
        <v>167</v>
      </c>
      <c r="F76" s="159"/>
      <c r="G76" s="152">
        <f>G77+G78</f>
        <v>148000</v>
      </c>
      <c r="I76" s="140"/>
    </row>
    <row r="77" spans="1:9" ht="63.75">
      <c r="A77" s="153" t="s">
        <v>268</v>
      </c>
      <c r="B77" s="154"/>
      <c r="C77" s="154" t="s">
        <v>643</v>
      </c>
      <c r="D77" s="154" t="s">
        <v>675</v>
      </c>
      <c r="E77" s="159" t="s">
        <v>167</v>
      </c>
      <c r="F77" s="159">
        <v>100</v>
      </c>
      <c r="G77" s="156">
        <v>126900</v>
      </c>
      <c r="I77" s="140"/>
    </row>
    <row r="78" spans="1:9" ht="25.5">
      <c r="A78" s="165" t="s">
        <v>184</v>
      </c>
      <c r="B78" s="166"/>
      <c r="C78" s="166" t="s">
        <v>643</v>
      </c>
      <c r="D78" s="166" t="s">
        <v>675</v>
      </c>
      <c r="E78" s="167" t="s">
        <v>167</v>
      </c>
      <c r="F78" s="167">
        <v>200</v>
      </c>
      <c r="G78" s="168">
        <v>21100</v>
      </c>
      <c r="I78" s="140"/>
    </row>
    <row r="79" spans="1:9" ht="25.5">
      <c r="A79" s="169" t="s">
        <v>391</v>
      </c>
      <c r="B79" s="143"/>
      <c r="C79" s="154" t="s">
        <v>643</v>
      </c>
      <c r="D79" s="154">
        <v>13</v>
      </c>
      <c r="E79" s="154" t="s">
        <v>535</v>
      </c>
      <c r="F79" s="159"/>
      <c r="G79" s="170">
        <v>60000</v>
      </c>
      <c r="I79" s="140"/>
    </row>
    <row r="80" spans="1:9" ht="12.75">
      <c r="A80" s="153" t="s">
        <v>648</v>
      </c>
      <c r="B80" s="143"/>
      <c r="C80" s="154" t="s">
        <v>643</v>
      </c>
      <c r="D80" s="154">
        <v>13</v>
      </c>
      <c r="E80" s="154" t="s">
        <v>536</v>
      </c>
      <c r="F80" s="155" t="s">
        <v>263</v>
      </c>
      <c r="G80" s="170">
        <v>60000</v>
      </c>
      <c r="I80" s="140"/>
    </row>
    <row r="81" spans="1:9" ht="12.75">
      <c r="A81" s="153" t="s">
        <v>430</v>
      </c>
      <c r="B81" s="143"/>
      <c r="C81" s="154" t="s">
        <v>643</v>
      </c>
      <c r="D81" s="154">
        <v>13</v>
      </c>
      <c r="E81" s="154" t="s">
        <v>431</v>
      </c>
      <c r="F81" s="157" t="s">
        <v>263</v>
      </c>
      <c r="G81" s="170">
        <v>60000</v>
      </c>
      <c r="I81" s="140"/>
    </row>
    <row r="82" spans="1:9" ht="13.5" customHeight="1">
      <c r="A82" s="165" t="s">
        <v>257</v>
      </c>
      <c r="B82" s="143"/>
      <c r="C82" s="166" t="s">
        <v>643</v>
      </c>
      <c r="D82" s="166">
        <v>13</v>
      </c>
      <c r="E82" s="166" t="s">
        <v>431</v>
      </c>
      <c r="F82" s="166">
        <v>300</v>
      </c>
      <c r="G82" s="170">
        <v>60000</v>
      </c>
      <c r="I82" s="140"/>
    </row>
    <row r="83" spans="1:9" ht="12.75">
      <c r="A83" s="146" t="s">
        <v>634</v>
      </c>
      <c r="B83" s="147"/>
      <c r="C83" s="147" t="s">
        <v>645</v>
      </c>
      <c r="D83" s="148" t="s">
        <v>214</v>
      </c>
      <c r="E83" s="147" t="s">
        <v>263</v>
      </c>
      <c r="F83" s="147" t="s">
        <v>263</v>
      </c>
      <c r="G83" s="149">
        <f>G84</f>
        <v>72200</v>
      </c>
      <c r="I83" s="140"/>
    </row>
    <row r="84" spans="1:9" ht="12.75">
      <c r="A84" s="150" t="s">
        <v>633</v>
      </c>
      <c r="B84" s="151"/>
      <c r="C84" s="151" t="s">
        <v>645</v>
      </c>
      <c r="D84" s="151" t="s">
        <v>646</v>
      </c>
      <c r="E84" s="171" t="s">
        <v>263</v>
      </c>
      <c r="F84" s="171" t="s">
        <v>263</v>
      </c>
      <c r="G84" s="152">
        <f>G85</f>
        <v>72200</v>
      </c>
      <c r="I84" s="140"/>
    </row>
    <row r="85" spans="1:9" ht="25.5">
      <c r="A85" s="153" t="s">
        <v>632</v>
      </c>
      <c r="B85" s="154"/>
      <c r="C85" s="154" t="s">
        <v>645</v>
      </c>
      <c r="D85" s="154" t="s">
        <v>646</v>
      </c>
      <c r="E85" s="159" t="s">
        <v>631</v>
      </c>
      <c r="F85" s="157" t="s">
        <v>263</v>
      </c>
      <c r="G85" s="152">
        <f>G86</f>
        <v>72200</v>
      </c>
      <c r="I85" s="140"/>
    </row>
    <row r="86" spans="1:9" ht="12.75">
      <c r="A86" s="153" t="s">
        <v>630</v>
      </c>
      <c r="B86" s="154"/>
      <c r="C86" s="154" t="s">
        <v>645</v>
      </c>
      <c r="D86" s="154" t="s">
        <v>646</v>
      </c>
      <c r="E86" s="159" t="s">
        <v>629</v>
      </c>
      <c r="F86" s="157"/>
      <c r="G86" s="152">
        <f>G87</f>
        <v>72200</v>
      </c>
      <c r="I86" s="140"/>
    </row>
    <row r="87" spans="1:9" ht="25.5">
      <c r="A87" s="27" t="s">
        <v>628</v>
      </c>
      <c r="B87" s="154"/>
      <c r="C87" s="154" t="s">
        <v>645</v>
      </c>
      <c r="D87" s="154" t="s">
        <v>646</v>
      </c>
      <c r="E87" s="159" t="s">
        <v>627</v>
      </c>
      <c r="F87" s="164" t="s">
        <v>263</v>
      </c>
      <c r="G87" s="152">
        <f>G88</f>
        <v>72200</v>
      </c>
      <c r="I87" s="140"/>
    </row>
    <row r="88" spans="1:9" ht="25.5">
      <c r="A88" s="165" t="s">
        <v>267</v>
      </c>
      <c r="B88" s="166"/>
      <c r="C88" s="166" t="s">
        <v>645</v>
      </c>
      <c r="D88" s="166" t="s">
        <v>646</v>
      </c>
      <c r="E88" s="167" t="s">
        <v>627</v>
      </c>
      <c r="F88" s="166">
        <v>200</v>
      </c>
      <c r="G88" s="168">
        <v>72200</v>
      </c>
      <c r="I88" s="140"/>
    </row>
    <row r="89" spans="1:9" ht="25.5">
      <c r="A89" s="146" t="s">
        <v>174</v>
      </c>
      <c r="B89" s="147"/>
      <c r="C89" s="147" t="s">
        <v>676</v>
      </c>
      <c r="D89" s="148" t="s">
        <v>214</v>
      </c>
      <c r="E89" s="147" t="s">
        <v>263</v>
      </c>
      <c r="F89" s="147" t="s">
        <v>263</v>
      </c>
      <c r="G89" s="149">
        <f>G90</f>
        <v>2036880.5</v>
      </c>
      <c r="I89" s="140"/>
    </row>
    <row r="90" spans="1:9" ht="38.25">
      <c r="A90" s="150" t="s">
        <v>604</v>
      </c>
      <c r="B90" s="151"/>
      <c r="C90" s="151" t="s">
        <v>676</v>
      </c>
      <c r="D90" s="151" t="s">
        <v>677</v>
      </c>
      <c r="E90" s="151" t="s">
        <v>263</v>
      </c>
      <c r="F90" s="151" t="s">
        <v>263</v>
      </c>
      <c r="G90" s="152">
        <f>G91</f>
        <v>2036880.5</v>
      </c>
      <c r="I90" s="140"/>
    </row>
    <row r="91" spans="1:9" ht="63.75">
      <c r="A91" s="161" t="s">
        <v>556</v>
      </c>
      <c r="B91" s="154"/>
      <c r="C91" s="154" t="s">
        <v>676</v>
      </c>
      <c r="D91" s="154" t="s">
        <v>677</v>
      </c>
      <c r="E91" s="159" t="s">
        <v>140</v>
      </c>
      <c r="F91" s="154" t="s">
        <v>263</v>
      </c>
      <c r="G91" s="152">
        <f>G92+G98</f>
        <v>2036880.5</v>
      </c>
      <c r="I91" s="140"/>
    </row>
    <row r="92" spans="1:9" ht="89.25">
      <c r="A92" s="32" t="s">
        <v>543</v>
      </c>
      <c r="B92" s="154"/>
      <c r="C92" s="154" t="s">
        <v>676</v>
      </c>
      <c r="D92" s="154" t="s">
        <v>677</v>
      </c>
      <c r="E92" s="159" t="s">
        <v>141</v>
      </c>
      <c r="F92" s="154"/>
      <c r="G92" s="152">
        <f>G93</f>
        <v>1996880.5</v>
      </c>
      <c r="I92" s="140"/>
    </row>
    <row r="93" spans="1:9" ht="69" customHeight="1">
      <c r="A93" s="24" t="s">
        <v>518</v>
      </c>
      <c r="B93" s="154"/>
      <c r="C93" s="154" t="s">
        <v>676</v>
      </c>
      <c r="D93" s="154" t="s">
        <v>677</v>
      </c>
      <c r="E93" s="159" t="s">
        <v>146</v>
      </c>
      <c r="F93" s="154"/>
      <c r="G93" s="152">
        <f>G94</f>
        <v>1996880.5</v>
      </c>
      <c r="I93" s="140"/>
    </row>
    <row r="94" spans="1:9" ht="25.5">
      <c r="A94" s="155" t="s">
        <v>283</v>
      </c>
      <c r="B94" s="154"/>
      <c r="C94" s="154" t="s">
        <v>676</v>
      </c>
      <c r="D94" s="154" t="s">
        <v>677</v>
      </c>
      <c r="E94" s="159" t="s">
        <v>147</v>
      </c>
      <c r="F94" s="154" t="s">
        <v>263</v>
      </c>
      <c r="G94" s="152">
        <f>SUM(G95:G97)</f>
        <v>1996880.5</v>
      </c>
      <c r="I94" s="140"/>
    </row>
    <row r="95" spans="1:9" ht="63.75">
      <c r="A95" s="153" t="s">
        <v>268</v>
      </c>
      <c r="B95" s="154"/>
      <c r="C95" s="154" t="s">
        <v>676</v>
      </c>
      <c r="D95" s="154" t="s">
        <v>677</v>
      </c>
      <c r="E95" s="159" t="s">
        <v>147</v>
      </c>
      <c r="F95" s="154" t="s">
        <v>592</v>
      </c>
      <c r="G95" s="156">
        <v>1820650</v>
      </c>
      <c r="I95" s="140"/>
    </row>
    <row r="96" spans="1:9" ht="25.5">
      <c r="A96" s="153" t="s">
        <v>184</v>
      </c>
      <c r="B96" s="154"/>
      <c r="C96" s="154" t="s">
        <v>676</v>
      </c>
      <c r="D96" s="154" t="s">
        <v>677</v>
      </c>
      <c r="E96" s="159" t="s">
        <v>147</v>
      </c>
      <c r="F96" s="154" t="s">
        <v>250</v>
      </c>
      <c r="G96" s="156">
        <v>174965.5</v>
      </c>
      <c r="I96" s="140"/>
    </row>
    <row r="97" spans="1:9" ht="12.75">
      <c r="A97" s="165" t="s">
        <v>253</v>
      </c>
      <c r="B97" s="166"/>
      <c r="C97" s="166" t="s">
        <v>676</v>
      </c>
      <c r="D97" s="166" t="s">
        <v>677</v>
      </c>
      <c r="E97" s="167" t="s">
        <v>147</v>
      </c>
      <c r="F97" s="166" t="s">
        <v>254</v>
      </c>
      <c r="G97" s="168">
        <v>1265</v>
      </c>
      <c r="I97" s="140"/>
    </row>
    <row r="98" spans="1:9" ht="76.5">
      <c r="A98" s="32" t="s">
        <v>86</v>
      </c>
      <c r="B98" s="143"/>
      <c r="C98" s="154" t="s">
        <v>676</v>
      </c>
      <c r="D98" s="154" t="s">
        <v>677</v>
      </c>
      <c r="E98" s="159" t="s">
        <v>87</v>
      </c>
      <c r="F98" s="324"/>
      <c r="G98" s="307">
        <v>40000</v>
      </c>
      <c r="I98" s="140"/>
    </row>
    <row r="99" spans="1:9" ht="51">
      <c r="A99" s="24" t="s">
        <v>88</v>
      </c>
      <c r="B99" s="143"/>
      <c r="C99" s="154" t="s">
        <v>676</v>
      </c>
      <c r="D99" s="154" t="s">
        <v>677</v>
      </c>
      <c r="E99" s="159" t="s">
        <v>89</v>
      </c>
      <c r="F99" s="324"/>
      <c r="G99" s="307">
        <v>40000</v>
      </c>
      <c r="I99" s="140"/>
    </row>
    <row r="100" spans="1:9" ht="38.25">
      <c r="A100" s="321" t="s">
        <v>91</v>
      </c>
      <c r="B100" s="143"/>
      <c r="C100" s="154" t="s">
        <v>676</v>
      </c>
      <c r="D100" s="154" t="s">
        <v>677</v>
      </c>
      <c r="E100" s="159" t="s">
        <v>90</v>
      </c>
      <c r="F100" s="324"/>
      <c r="G100" s="307">
        <v>40000</v>
      </c>
      <c r="I100" s="140"/>
    </row>
    <row r="101" spans="1:9" ht="25.5">
      <c r="A101" s="153" t="s">
        <v>184</v>
      </c>
      <c r="B101" s="143"/>
      <c r="C101" s="154" t="s">
        <v>676</v>
      </c>
      <c r="D101" s="154" t="s">
        <v>677</v>
      </c>
      <c r="E101" s="159" t="s">
        <v>90</v>
      </c>
      <c r="F101" s="143">
        <v>200</v>
      </c>
      <c r="G101" s="170">
        <v>40000</v>
      </c>
      <c r="I101" s="140"/>
    </row>
    <row r="102" spans="1:9" ht="12.75">
      <c r="A102" s="146" t="s">
        <v>605</v>
      </c>
      <c r="B102" s="147"/>
      <c r="C102" s="147" t="s">
        <v>646</v>
      </c>
      <c r="D102" s="148" t="s">
        <v>214</v>
      </c>
      <c r="E102" s="147" t="s">
        <v>263</v>
      </c>
      <c r="F102" s="147" t="s">
        <v>263</v>
      </c>
      <c r="G102" s="149">
        <f>G103+G109+G132</f>
        <v>7816629.960000001</v>
      </c>
      <c r="I102" s="140"/>
    </row>
    <row r="103" spans="1:9" ht="12.75">
      <c r="A103" s="150" t="s">
        <v>606</v>
      </c>
      <c r="B103" s="151"/>
      <c r="C103" s="151" t="s">
        <v>646</v>
      </c>
      <c r="D103" s="151" t="s">
        <v>643</v>
      </c>
      <c r="E103" s="151" t="s">
        <v>263</v>
      </c>
      <c r="F103" s="151" t="s">
        <v>263</v>
      </c>
      <c r="G103" s="152">
        <f>G104</f>
        <v>84154.9</v>
      </c>
      <c r="I103" s="140"/>
    </row>
    <row r="104" spans="1:9" ht="38.25">
      <c r="A104" s="161" t="s">
        <v>538</v>
      </c>
      <c r="B104" s="154"/>
      <c r="C104" s="154" t="s">
        <v>646</v>
      </c>
      <c r="D104" s="154" t="s">
        <v>643</v>
      </c>
      <c r="E104" s="159" t="s">
        <v>142</v>
      </c>
      <c r="F104" s="154" t="s">
        <v>263</v>
      </c>
      <c r="G104" s="152">
        <f>G105</f>
        <v>84154.9</v>
      </c>
      <c r="I104" s="140"/>
    </row>
    <row r="105" spans="1:9" ht="63.75">
      <c r="A105" s="162" t="s">
        <v>584</v>
      </c>
      <c r="B105" s="154"/>
      <c r="C105" s="154" t="s">
        <v>646</v>
      </c>
      <c r="D105" s="154" t="s">
        <v>643</v>
      </c>
      <c r="E105" s="159" t="s">
        <v>143</v>
      </c>
      <c r="F105" s="154"/>
      <c r="G105" s="152">
        <f>G106</f>
        <v>84154.9</v>
      </c>
      <c r="I105" s="140"/>
    </row>
    <row r="106" spans="1:9" ht="51">
      <c r="A106" s="25" t="s">
        <v>626</v>
      </c>
      <c r="B106" s="154"/>
      <c r="C106" s="154" t="s">
        <v>646</v>
      </c>
      <c r="D106" s="154" t="s">
        <v>643</v>
      </c>
      <c r="E106" s="159" t="s">
        <v>144</v>
      </c>
      <c r="F106" s="154"/>
      <c r="G106" s="152">
        <f>G107</f>
        <v>84154.9</v>
      </c>
      <c r="I106" s="140"/>
    </row>
    <row r="107" spans="1:9" ht="25.5">
      <c r="A107" s="153" t="s">
        <v>537</v>
      </c>
      <c r="B107" s="154"/>
      <c r="C107" s="154" t="s">
        <v>646</v>
      </c>
      <c r="D107" s="154" t="s">
        <v>643</v>
      </c>
      <c r="E107" s="159" t="s">
        <v>145</v>
      </c>
      <c r="F107" s="154"/>
      <c r="G107" s="152">
        <f>G108</f>
        <v>84154.9</v>
      </c>
      <c r="I107" s="140"/>
    </row>
    <row r="108" spans="1:9" ht="30.75" customHeight="1">
      <c r="A108" s="153" t="s">
        <v>266</v>
      </c>
      <c r="B108" s="154"/>
      <c r="C108" s="154" t="s">
        <v>646</v>
      </c>
      <c r="D108" s="154" t="s">
        <v>643</v>
      </c>
      <c r="E108" s="159" t="s">
        <v>145</v>
      </c>
      <c r="F108" s="154">
        <v>600</v>
      </c>
      <c r="G108" s="156">
        <v>84154.9</v>
      </c>
      <c r="I108" s="140"/>
    </row>
    <row r="109" spans="1:9" ht="12.75">
      <c r="A109" s="150" t="s">
        <v>262</v>
      </c>
      <c r="B109" s="151"/>
      <c r="C109" s="151" t="s">
        <v>646</v>
      </c>
      <c r="D109" s="151" t="s">
        <v>677</v>
      </c>
      <c r="E109" s="171" t="s">
        <v>263</v>
      </c>
      <c r="F109" s="171" t="s">
        <v>263</v>
      </c>
      <c r="G109" s="152">
        <f>G110</f>
        <v>7412475.0600000005</v>
      </c>
      <c r="I109" s="140"/>
    </row>
    <row r="110" spans="1:9" ht="63.75">
      <c r="A110" s="161" t="s">
        <v>181</v>
      </c>
      <c r="B110" s="154"/>
      <c r="C110" s="154" t="s">
        <v>646</v>
      </c>
      <c r="D110" s="154" t="s">
        <v>677</v>
      </c>
      <c r="E110" s="159" t="s">
        <v>151</v>
      </c>
      <c r="F110" s="157" t="s">
        <v>263</v>
      </c>
      <c r="G110" s="152">
        <f>G111+G122</f>
        <v>7412475.0600000005</v>
      </c>
      <c r="I110" s="140"/>
    </row>
    <row r="111" spans="1:9" ht="89.25">
      <c r="A111" s="13" t="s">
        <v>625</v>
      </c>
      <c r="B111" s="154"/>
      <c r="C111" s="154" t="s">
        <v>646</v>
      </c>
      <c r="D111" s="154" t="s">
        <v>677</v>
      </c>
      <c r="E111" s="163" t="s">
        <v>189</v>
      </c>
      <c r="F111" s="164" t="s">
        <v>263</v>
      </c>
      <c r="G111" s="152">
        <f>G112+G115</f>
        <v>6254882</v>
      </c>
      <c r="I111" s="140"/>
    </row>
    <row r="112" spans="1:9" ht="38.25">
      <c r="A112" s="25" t="s">
        <v>188</v>
      </c>
      <c r="B112" s="154"/>
      <c r="C112" s="154" t="s">
        <v>646</v>
      </c>
      <c r="D112" s="154" t="s">
        <v>677</v>
      </c>
      <c r="E112" s="159" t="s">
        <v>187</v>
      </c>
      <c r="F112" s="164"/>
      <c r="G112" s="152">
        <f>G113</f>
        <v>1488252</v>
      </c>
      <c r="I112" s="140"/>
    </row>
    <row r="113" spans="1:9" ht="38.25">
      <c r="A113" s="28" t="s">
        <v>153</v>
      </c>
      <c r="B113" s="154"/>
      <c r="C113" s="154" t="s">
        <v>646</v>
      </c>
      <c r="D113" s="154" t="s">
        <v>677</v>
      </c>
      <c r="E113" s="159" t="s">
        <v>186</v>
      </c>
      <c r="F113" s="164"/>
      <c r="G113" s="152">
        <f>G114</f>
        <v>1488252</v>
      </c>
      <c r="I113" s="140"/>
    </row>
    <row r="114" spans="1:9" ht="12.75">
      <c r="A114" s="153" t="s">
        <v>253</v>
      </c>
      <c r="B114" s="154"/>
      <c r="C114" s="154" t="s">
        <v>646</v>
      </c>
      <c r="D114" s="154" t="s">
        <v>677</v>
      </c>
      <c r="E114" s="159" t="s">
        <v>186</v>
      </c>
      <c r="F114" s="155">
        <v>800</v>
      </c>
      <c r="G114" s="156">
        <v>1488252</v>
      </c>
      <c r="I114" s="140"/>
    </row>
    <row r="115" spans="1:9" ht="38.25">
      <c r="A115" s="25" t="s">
        <v>185</v>
      </c>
      <c r="B115" s="154"/>
      <c r="C115" s="154" t="s">
        <v>646</v>
      </c>
      <c r="D115" s="154" t="s">
        <v>677</v>
      </c>
      <c r="E115" s="159" t="s">
        <v>509</v>
      </c>
      <c r="F115" s="164"/>
      <c r="G115" s="152">
        <f>G116+G118+G120</f>
        <v>4766630</v>
      </c>
      <c r="I115" s="140"/>
    </row>
    <row r="116" spans="1:9" ht="38.25">
      <c r="A116" s="305" t="s">
        <v>242</v>
      </c>
      <c r="B116" s="154"/>
      <c r="C116" s="154" t="s">
        <v>646</v>
      </c>
      <c r="D116" s="154" t="s">
        <v>677</v>
      </c>
      <c r="E116" s="159" t="s">
        <v>554</v>
      </c>
      <c r="F116" s="164"/>
      <c r="G116" s="152">
        <v>4449640</v>
      </c>
      <c r="I116" s="140"/>
    </row>
    <row r="117" spans="1:9" ht="25.5">
      <c r="A117" s="153" t="s">
        <v>184</v>
      </c>
      <c r="B117" s="154"/>
      <c r="C117" s="154" t="s">
        <v>646</v>
      </c>
      <c r="D117" s="154" t="s">
        <v>677</v>
      </c>
      <c r="E117" s="159" t="s">
        <v>554</v>
      </c>
      <c r="F117" s="312">
        <v>200</v>
      </c>
      <c r="G117" s="152">
        <v>4449640</v>
      </c>
      <c r="I117" s="140"/>
    </row>
    <row r="118" spans="1:9" ht="38.25">
      <c r="A118" s="305" t="s">
        <v>242</v>
      </c>
      <c r="B118" s="154"/>
      <c r="C118" s="154" t="s">
        <v>646</v>
      </c>
      <c r="D118" s="154" t="s">
        <v>677</v>
      </c>
      <c r="E118" s="159" t="s">
        <v>241</v>
      </c>
      <c r="F118" s="164"/>
      <c r="G118" s="152">
        <v>44950</v>
      </c>
      <c r="I118" s="140"/>
    </row>
    <row r="119" spans="1:9" ht="25.5">
      <c r="A119" s="153" t="s">
        <v>184</v>
      </c>
      <c r="B119" s="154"/>
      <c r="C119" s="154" t="s">
        <v>646</v>
      </c>
      <c r="D119" s="154" t="s">
        <v>677</v>
      </c>
      <c r="E119" s="159" t="s">
        <v>241</v>
      </c>
      <c r="F119" s="312">
        <v>200</v>
      </c>
      <c r="G119" s="152">
        <v>44950</v>
      </c>
      <c r="I119" s="140"/>
    </row>
    <row r="120" spans="1:9" ht="38.25">
      <c r="A120" s="27" t="s">
        <v>153</v>
      </c>
      <c r="B120" s="154"/>
      <c r="C120" s="154" t="s">
        <v>646</v>
      </c>
      <c r="D120" s="154" t="s">
        <v>677</v>
      </c>
      <c r="E120" s="159" t="s">
        <v>192</v>
      </c>
      <c r="F120" s="154" t="s">
        <v>263</v>
      </c>
      <c r="G120" s="152">
        <f>G121</f>
        <v>272040</v>
      </c>
      <c r="I120" s="140"/>
    </row>
    <row r="121" spans="1:9" ht="25.5">
      <c r="A121" s="153" t="s">
        <v>184</v>
      </c>
      <c r="B121" s="154"/>
      <c r="C121" s="154" t="s">
        <v>646</v>
      </c>
      <c r="D121" s="154" t="s">
        <v>677</v>
      </c>
      <c r="E121" s="159" t="s">
        <v>192</v>
      </c>
      <c r="F121" s="154">
        <v>200</v>
      </c>
      <c r="G121" s="156">
        <v>272040</v>
      </c>
      <c r="I121" s="140"/>
    </row>
    <row r="122" spans="1:9" ht="89.25">
      <c r="A122" s="32" t="s">
        <v>193</v>
      </c>
      <c r="B122" s="173"/>
      <c r="C122" s="173" t="s">
        <v>646</v>
      </c>
      <c r="D122" s="173" t="s">
        <v>677</v>
      </c>
      <c r="E122" s="174" t="s">
        <v>152</v>
      </c>
      <c r="F122" s="173"/>
      <c r="G122" s="152">
        <f>G123</f>
        <v>1157593.06</v>
      </c>
      <c r="I122" s="140"/>
    </row>
    <row r="123" spans="1:9" ht="63.75">
      <c r="A123" s="25" t="s">
        <v>673</v>
      </c>
      <c r="B123" s="173"/>
      <c r="C123" s="173" t="s">
        <v>646</v>
      </c>
      <c r="D123" s="173" t="s">
        <v>677</v>
      </c>
      <c r="E123" s="175" t="s">
        <v>194</v>
      </c>
      <c r="F123" s="173"/>
      <c r="G123" s="152">
        <f>G124+G126</f>
        <v>1157593.06</v>
      </c>
      <c r="I123" s="140"/>
    </row>
    <row r="124" spans="1:9" ht="25.5">
      <c r="A124" s="28" t="s">
        <v>597</v>
      </c>
      <c r="B124" s="173"/>
      <c r="C124" s="173" t="s">
        <v>646</v>
      </c>
      <c r="D124" s="173" t="s">
        <v>677</v>
      </c>
      <c r="E124" s="175" t="s">
        <v>596</v>
      </c>
      <c r="F124" s="173"/>
      <c r="G124" s="152">
        <f>G125</f>
        <v>934593.06</v>
      </c>
      <c r="I124" s="140"/>
    </row>
    <row r="125" spans="1:9" ht="12.75">
      <c r="A125" s="169" t="s">
        <v>253</v>
      </c>
      <c r="B125" s="173"/>
      <c r="C125" s="173" t="s">
        <v>646</v>
      </c>
      <c r="D125" s="173" t="s">
        <v>677</v>
      </c>
      <c r="E125" s="175" t="s">
        <v>596</v>
      </c>
      <c r="F125" s="173">
        <v>800</v>
      </c>
      <c r="G125" s="152">
        <v>934593.06</v>
      </c>
      <c r="I125" s="140"/>
    </row>
    <row r="126" spans="1:9" ht="25.5">
      <c r="A126" s="153" t="s">
        <v>672</v>
      </c>
      <c r="B126" s="176"/>
      <c r="C126" s="173" t="s">
        <v>646</v>
      </c>
      <c r="D126" s="173" t="s">
        <v>677</v>
      </c>
      <c r="E126" s="175" t="s">
        <v>671</v>
      </c>
      <c r="F126" s="173"/>
      <c r="G126" s="152">
        <v>223000</v>
      </c>
      <c r="I126" s="140"/>
    </row>
    <row r="127" spans="1:9" ht="12.75">
      <c r="A127" s="169" t="s">
        <v>253</v>
      </c>
      <c r="B127" s="176"/>
      <c r="C127" s="173" t="s">
        <v>646</v>
      </c>
      <c r="D127" s="173" t="s">
        <v>677</v>
      </c>
      <c r="E127" s="175" t="s">
        <v>671</v>
      </c>
      <c r="F127" s="173">
        <v>200</v>
      </c>
      <c r="G127" s="156">
        <v>223000</v>
      </c>
      <c r="I127" s="140"/>
    </row>
    <row r="128" spans="1:9" ht="12" customHeight="1">
      <c r="A128" s="172" t="s">
        <v>372</v>
      </c>
      <c r="B128" s="176"/>
      <c r="C128" s="177" t="s">
        <v>646</v>
      </c>
      <c r="D128" s="177">
        <v>12</v>
      </c>
      <c r="E128" s="174"/>
      <c r="F128" s="177"/>
      <c r="G128" s="178">
        <v>320000</v>
      </c>
      <c r="I128" s="140"/>
    </row>
    <row r="129" spans="1:9" ht="25.5">
      <c r="A129" s="161" t="s">
        <v>39</v>
      </c>
      <c r="B129" s="176"/>
      <c r="C129" s="173" t="s">
        <v>646</v>
      </c>
      <c r="D129" s="173">
        <v>12</v>
      </c>
      <c r="E129" s="159" t="s">
        <v>135</v>
      </c>
      <c r="F129" s="173"/>
      <c r="G129" s="178">
        <v>320000</v>
      </c>
      <c r="I129" s="140"/>
    </row>
    <row r="130" spans="1:9" ht="25.5">
      <c r="A130" s="162" t="s">
        <v>40</v>
      </c>
      <c r="B130" s="176"/>
      <c r="C130" s="173" t="s">
        <v>646</v>
      </c>
      <c r="D130" s="173">
        <v>12</v>
      </c>
      <c r="E130" s="163" t="s">
        <v>137</v>
      </c>
      <c r="F130" s="173"/>
      <c r="G130" s="178">
        <v>320000</v>
      </c>
      <c r="I130" s="140"/>
    </row>
    <row r="131" spans="1:9" ht="38.25">
      <c r="A131" s="153" t="s">
        <v>43</v>
      </c>
      <c r="B131" s="176"/>
      <c r="C131" s="173" t="s">
        <v>646</v>
      </c>
      <c r="D131" s="173">
        <v>12</v>
      </c>
      <c r="E131" s="159" t="s">
        <v>42</v>
      </c>
      <c r="F131" s="173"/>
      <c r="G131" s="178">
        <v>320000</v>
      </c>
      <c r="I131" s="140"/>
    </row>
    <row r="132" spans="1:9" ht="25.5">
      <c r="A132" s="165" t="s">
        <v>184</v>
      </c>
      <c r="B132" s="176"/>
      <c r="C132" s="179" t="s">
        <v>646</v>
      </c>
      <c r="D132" s="179">
        <v>12</v>
      </c>
      <c r="E132" s="167" t="s">
        <v>42</v>
      </c>
      <c r="F132" s="179">
        <v>200</v>
      </c>
      <c r="G132" s="178">
        <v>320000</v>
      </c>
      <c r="I132" s="140"/>
    </row>
    <row r="133" spans="1:9" ht="12.75">
      <c r="A133" s="146" t="s">
        <v>360</v>
      </c>
      <c r="B133" s="147"/>
      <c r="C133" s="147" t="s">
        <v>59</v>
      </c>
      <c r="D133" s="148" t="s">
        <v>214</v>
      </c>
      <c r="E133" s="147" t="s">
        <v>263</v>
      </c>
      <c r="F133" s="147" t="s">
        <v>263</v>
      </c>
      <c r="G133" s="149">
        <f>G134+G140+G146</f>
        <v>27488825.9</v>
      </c>
      <c r="I133" s="140"/>
    </row>
    <row r="134" spans="1:9" ht="12.75">
      <c r="A134" s="150" t="s">
        <v>191</v>
      </c>
      <c r="B134" s="151"/>
      <c r="C134" s="151" t="s">
        <v>59</v>
      </c>
      <c r="D134" s="180" t="s">
        <v>643</v>
      </c>
      <c r="E134" s="181"/>
      <c r="F134" s="181"/>
      <c r="G134" s="152">
        <f>G135</f>
        <v>853069</v>
      </c>
      <c r="I134" s="140"/>
    </row>
    <row r="135" spans="1:9" ht="63.75">
      <c r="A135" s="161" t="s">
        <v>182</v>
      </c>
      <c r="B135" s="154"/>
      <c r="C135" s="154" t="s">
        <v>59</v>
      </c>
      <c r="D135" s="182" t="s">
        <v>643</v>
      </c>
      <c r="E135" s="159" t="s">
        <v>154</v>
      </c>
      <c r="F135" s="181"/>
      <c r="G135" s="152">
        <f>G136</f>
        <v>853069</v>
      </c>
      <c r="I135" s="140"/>
    </row>
    <row r="136" spans="1:9" ht="89.25">
      <c r="A136" s="162" t="s">
        <v>183</v>
      </c>
      <c r="B136" s="154"/>
      <c r="C136" s="154" t="s">
        <v>59</v>
      </c>
      <c r="D136" s="182" t="s">
        <v>643</v>
      </c>
      <c r="E136" s="163" t="s">
        <v>658</v>
      </c>
      <c r="F136" s="181"/>
      <c r="G136" s="152">
        <f>G137</f>
        <v>853069</v>
      </c>
      <c r="I136" s="140"/>
    </row>
    <row r="137" spans="1:9" ht="38.25">
      <c r="A137" s="34" t="s">
        <v>190</v>
      </c>
      <c r="B137" s="154"/>
      <c r="C137" s="154" t="s">
        <v>59</v>
      </c>
      <c r="D137" s="182" t="s">
        <v>643</v>
      </c>
      <c r="E137" s="159" t="s">
        <v>227</v>
      </c>
      <c r="F137" s="181"/>
      <c r="G137" s="152">
        <f>G138</f>
        <v>853069</v>
      </c>
      <c r="I137" s="140"/>
    </row>
    <row r="138" spans="1:9" ht="24">
      <c r="A138" s="31" t="s">
        <v>226</v>
      </c>
      <c r="B138" s="154"/>
      <c r="C138" s="154" t="s">
        <v>59</v>
      </c>
      <c r="D138" s="182" t="s">
        <v>643</v>
      </c>
      <c r="E138" s="159" t="s">
        <v>225</v>
      </c>
      <c r="F138" s="181"/>
      <c r="G138" s="152">
        <f>SUM(G139:G139)</f>
        <v>853069</v>
      </c>
      <c r="I138" s="140"/>
    </row>
    <row r="139" spans="1:9" ht="25.5">
      <c r="A139" s="153" t="s">
        <v>184</v>
      </c>
      <c r="B139" s="154"/>
      <c r="C139" s="154" t="s">
        <v>59</v>
      </c>
      <c r="D139" s="182" t="s">
        <v>643</v>
      </c>
      <c r="E139" s="159" t="s">
        <v>225</v>
      </c>
      <c r="F139" s="154">
        <v>200</v>
      </c>
      <c r="G139" s="156">
        <v>853069</v>
      </c>
      <c r="I139" s="140"/>
    </row>
    <row r="140" spans="1:9" ht="12.75">
      <c r="A140" s="162" t="s">
        <v>168</v>
      </c>
      <c r="B140" s="151"/>
      <c r="C140" s="151" t="s">
        <v>59</v>
      </c>
      <c r="D140" s="180" t="s">
        <v>645</v>
      </c>
      <c r="E140" s="181"/>
      <c r="F140" s="181"/>
      <c r="G140" s="152">
        <f>G141</f>
        <v>1223765</v>
      </c>
      <c r="I140" s="140"/>
    </row>
    <row r="141" spans="1:9" ht="50.25" customHeight="1">
      <c r="A141" s="161" t="s">
        <v>182</v>
      </c>
      <c r="B141" s="154"/>
      <c r="C141" s="154" t="s">
        <v>59</v>
      </c>
      <c r="D141" s="182" t="s">
        <v>645</v>
      </c>
      <c r="E141" s="159" t="s">
        <v>154</v>
      </c>
      <c r="F141" s="181"/>
      <c r="G141" s="152">
        <f>G142</f>
        <v>1223765</v>
      </c>
      <c r="I141" s="140"/>
    </row>
    <row r="142" spans="1:9" ht="89.25">
      <c r="A142" s="162" t="s">
        <v>183</v>
      </c>
      <c r="B142" s="154"/>
      <c r="C142" s="154" t="s">
        <v>59</v>
      </c>
      <c r="D142" s="182" t="s">
        <v>645</v>
      </c>
      <c r="E142" s="163" t="s">
        <v>658</v>
      </c>
      <c r="F142" s="181"/>
      <c r="G142" s="152">
        <f>G143</f>
        <v>1223765</v>
      </c>
      <c r="I142" s="140"/>
    </row>
    <row r="143" spans="1:9" ht="25.5">
      <c r="A143" s="24" t="s">
        <v>620</v>
      </c>
      <c r="B143" s="154"/>
      <c r="C143" s="154" t="s">
        <v>59</v>
      </c>
      <c r="D143" s="182" t="s">
        <v>645</v>
      </c>
      <c r="E143" s="159" t="s">
        <v>624</v>
      </c>
      <c r="F143" s="181"/>
      <c r="G143" s="152">
        <f>G144</f>
        <v>1223765</v>
      </c>
      <c r="I143" s="140"/>
    </row>
    <row r="144" spans="1:9" ht="12.75">
      <c r="A144" s="153" t="s">
        <v>169</v>
      </c>
      <c r="B144" s="154"/>
      <c r="C144" s="154" t="s">
        <v>59</v>
      </c>
      <c r="D144" s="182" t="s">
        <v>645</v>
      </c>
      <c r="E144" s="159" t="s">
        <v>623</v>
      </c>
      <c r="F144" s="181"/>
      <c r="G144" s="152">
        <f>G145</f>
        <v>1223765</v>
      </c>
      <c r="I144" s="140"/>
    </row>
    <row r="145" spans="1:9" ht="25.5">
      <c r="A145" s="153" t="s">
        <v>184</v>
      </c>
      <c r="B145" s="154"/>
      <c r="C145" s="154" t="s">
        <v>59</v>
      </c>
      <c r="D145" s="182" t="s">
        <v>645</v>
      </c>
      <c r="E145" s="159" t="s">
        <v>623</v>
      </c>
      <c r="F145" s="154">
        <v>200</v>
      </c>
      <c r="G145" s="156">
        <f>1164000+59765</f>
        <v>1223765</v>
      </c>
      <c r="I145" s="140"/>
    </row>
    <row r="146" spans="1:9" ht="12.75">
      <c r="A146" s="150" t="s">
        <v>662</v>
      </c>
      <c r="B146" s="151"/>
      <c r="C146" s="151" t="s">
        <v>59</v>
      </c>
      <c r="D146" s="151" t="s">
        <v>676</v>
      </c>
      <c r="E146" s="151" t="s">
        <v>263</v>
      </c>
      <c r="F146" s="151" t="s">
        <v>263</v>
      </c>
      <c r="G146" s="152">
        <f>G147+G158</f>
        <v>25411991.9</v>
      </c>
      <c r="I146" s="140"/>
    </row>
    <row r="147" spans="1:9" ht="51.75" customHeight="1">
      <c r="A147" s="161" t="s">
        <v>182</v>
      </c>
      <c r="B147" s="154"/>
      <c r="C147" s="154" t="s">
        <v>59</v>
      </c>
      <c r="D147" s="154" t="s">
        <v>676</v>
      </c>
      <c r="E147" s="159" t="s">
        <v>154</v>
      </c>
      <c r="F147" s="154" t="s">
        <v>263</v>
      </c>
      <c r="G147" s="152">
        <f>G148</f>
        <v>15799878.9</v>
      </c>
      <c r="I147" s="140"/>
    </row>
    <row r="148" spans="1:9" ht="89.25">
      <c r="A148" s="162" t="s">
        <v>183</v>
      </c>
      <c r="B148" s="154"/>
      <c r="C148" s="154" t="s">
        <v>59</v>
      </c>
      <c r="D148" s="154" t="s">
        <v>676</v>
      </c>
      <c r="E148" s="163" t="s">
        <v>658</v>
      </c>
      <c r="F148" s="155" t="s">
        <v>263</v>
      </c>
      <c r="G148" s="152">
        <f>G149+G153</f>
        <v>15799878.9</v>
      </c>
      <c r="I148" s="140"/>
    </row>
    <row r="149" spans="1:9" ht="25.5">
      <c r="A149" s="34" t="s">
        <v>622</v>
      </c>
      <c r="B149" s="154"/>
      <c r="C149" s="154" t="s">
        <v>59</v>
      </c>
      <c r="D149" s="154" t="s">
        <v>676</v>
      </c>
      <c r="E149" s="159" t="s">
        <v>206</v>
      </c>
      <c r="F149" s="155"/>
      <c r="G149" s="152">
        <f>G150</f>
        <v>10799878.9</v>
      </c>
      <c r="I149" s="140"/>
    </row>
    <row r="150" spans="1:9" ht="12.75">
      <c r="A150" s="28" t="s">
        <v>614</v>
      </c>
      <c r="B150" s="154"/>
      <c r="C150" s="154" t="s">
        <v>59</v>
      </c>
      <c r="D150" s="154" t="s">
        <v>676</v>
      </c>
      <c r="E150" s="159" t="s">
        <v>207</v>
      </c>
      <c r="F150" s="154" t="s">
        <v>263</v>
      </c>
      <c r="G150" s="152">
        <f>SUM(G151:G152)</f>
        <v>10799878.9</v>
      </c>
      <c r="I150" s="140"/>
    </row>
    <row r="151" spans="1:9" ht="25.5">
      <c r="A151" s="153" t="s">
        <v>184</v>
      </c>
      <c r="B151" s="154"/>
      <c r="C151" s="154" t="s">
        <v>59</v>
      </c>
      <c r="D151" s="154" t="s">
        <v>676</v>
      </c>
      <c r="E151" s="159" t="s">
        <v>207</v>
      </c>
      <c r="F151" s="154">
        <v>200</v>
      </c>
      <c r="G151" s="156">
        <v>2028932.9</v>
      </c>
      <c r="I151" s="140"/>
    </row>
    <row r="152" spans="1:9" ht="12.75">
      <c r="A152" s="153" t="s">
        <v>253</v>
      </c>
      <c r="B152" s="154"/>
      <c r="C152" s="154" t="s">
        <v>59</v>
      </c>
      <c r="D152" s="154" t="s">
        <v>676</v>
      </c>
      <c r="E152" s="159" t="s">
        <v>207</v>
      </c>
      <c r="F152" s="154">
        <v>800</v>
      </c>
      <c r="G152" s="156">
        <v>8770946</v>
      </c>
      <c r="I152" s="140"/>
    </row>
    <row r="153" spans="1:9" ht="38.25">
      <c r="A153" s="34" t="s">
        <v>548</v>
      </c>
      <c r="B153" s="154"/>
      <c r="C153" s="154" t="s">
        <v>59</v>
      </c>
      <c r="D153" s="154" t="s">
        <v>676</v>
      </c>
      <c r="E153" s="159" t="s">
        <v>547</v>
      </c>
      <c r="F153" s="154"/>
      <c r="G153" s="156">
        <v>5000000</v>
      </c>
      <c r="I153" s="140"/>
    </row>
    <row r="154" spans="1:9" ht="12.75">
      <c r="A154" s="112" t="s">
        <v>549</v>
      </c>
      <c r="B154" s="154"/>
      <c r="C154" s="154" t="s">
        <v>59</v>
      </c>
      <c r="D154" s="154" t="s">
        <v>676</v>
      </c>
      <c r="E154" s="159" t="s">
        <v>550</v>
      </c>
      <c r="F154" s="154"/>
      <c r="G154" s="156">
        <v>4950000</v>
      </c>
      <c r="I154" s="140"/>
    </row>
    <row r="155" spans="1:9" ht="25.5">
      <c r="A155" s="153" t="s">
        <v>184</v>
      </c>
      <c r="B155" s="154"/>
      <c r="C155" s="154" t="s">
        <v>59</v>
      </c>
      <c r="D155" s="154" t="s">
        <v>676</v>
      </c>
      <c r="E155" s="159" t="s">
        <v>550</v>
      </c>
      <c r="F155" s="154">
        <v>200</v>
      </c>
      <c r="G155" s="156">
        <v>4950000</v>
      </c>
      <c r="I155" s="140"/>
    </row>
    <row r="156" spans="1:9" ht="25.5">
      <c r="A156" s="109" t="s">
        <v>551</v>
      </c>
      <c r="B156" s="154"/>
      <c r="C156" s="154" t="s">
        <v>59</v>
      </c>
      <c r="D156" s="154" t="s">
        <v>676</v>
      </c>
      <c r="E156" s="159" t="s">
        <v>552</v>
      </c>
      <c r="F156" s="154"/>
      <c r="G156" s="156">
        <v>50000</v>
      </c>
      <c r="I156" s="140"/>
    </row>
    <row r="157" spans="1:9" ht="25.5">
      <c r="A157" s="153" t="s">
        <v>184</v>
      </c>
      <c r="B157" s="154"/>
      <c r="C157" s="154" t="s">
        <v>59</v>
      </c>
      <c r="D157" s="154" t="s">
        <v>676</v>
      </c>
      <c r="E157" s="159" t="s">
        <v>552</v>
      </c>
      <c r="F157" s="154">
        <v>200</v>
      </c>
      <c r="G157" s="156">
        <v>50000</v>
      </c>
      <c r="I157" s="140"/>
    </row>
    <row r="158" spans="1:9" ht="51">
      <c r="A158" s="161" t="s">
        <v>177</v>
      </c>
      <c r="B158" s="154"/>
      <c r="C158" s="154" t="s">
        <v>59</v>
      </c>
      <c r="D158" s="154" t="s">
        <v>676</v>
      </c>
      <c r="E158" s="159" t="s">
        <v>44</v>
      </c>
      <c r="F158" s="154"/>
      <c r="G158" s="152">
        <f>G161</f>
        <v>9612113</v>
      </c>
      <c r="I158" s="140"/>
    </row>
    <row r="159" spans="1:9" ht="25.5">
      <c r="A159" s="34" t="s">
        <v>734</v>
      </c>
      <c r="B159" s="154"/>
      <c r="C159" s="154" t="s">
        <v>59</v>
      </c>
      <c r="D159" s="154" t="s">
        <v>676</v>
      </c>
      <c r="E159" s="159" t="s">
        <v>733</v>
      </c>
      <c r="F159" s="154"/>
      <c r="G159" s="152">
        <f>G160</f>
        <v>9612113</v>
      </c>
      <c r="I159" s="140"/>
    </row>
    <row r="160" spans="1:9" ht="25.5">
      <c r="A160" s="104" t="s">
        <v>736</v>
      </c>
      <c r="B160" s="154"/>
      <c r="C160" s="154" t="s">
        <v>59</v>
      </c>
      <c r="D160" s="154" t="s">
        <v>676</v>
      </c>
      <c r="E160" s="159" t="s">
        <v>735</v>
      </c>
      <c r="F160" s="154"/>
      <c r="G160" s="152">
        <f>G161</f>
        <v>9612113</v>
      </c>
      <c r="I160" s="140"/>
    </row>
    <row r="161" spans="1:9" ht="25.5">
      <c r="A161" s="153" t="s">
        <v>184</v>
      </c>
      <c r="B161" s="154"/>
      <c r="C161" s="154" t="s">
        <v>59</v>
      </c>
      <c r="D161" s="154" t="s">
        <v>676</v>
      </c>
      <c r="E161" s="159" t="s">
        <v>735</v>
      </c>
      <c r="F161" s="154">
        <v>200</v>
      </c>
      <c r="G161" s="156">
        <v>9612113</v>
      </c>
      <c r="I161" s="140"/>
    </row>
    <row r="162" spans="1:9" ht="12.75">
      <c r="A162" s="18" t="s">
        <v>20</v>
      </c>
      <c r="B162" s="206"/>
      <c r="C162" s="182" t="s">
        <v>647</v>
      </c>
      <c r="D162" s="206"/>
      <c r="E162" s="207"/>
      <c r="F162" s="206"/>
      <c r="G162" s="178">
        <v>614168.1</v>
      </c>
      <c r="I162" s="140"/>
    </row>
    <row r="163" spans="1:9" ht="25.5">
      <c r="A163" s="303" t="s">
        <v>21</v>
      </c>
      <c r="B163" s="206"/>
      <c r="C163" s="304" t="s">
        <v>647</v>
      </c>
      <c r="D163" s="304" t="s">
        <v>59</v>
      </c>
      <c r="E163" s="207"/>
      <c r="F163" s="206"/>
      <c r="G163" s="178">
        <v>614168.1</v>
      </c>
      <c r="I163" s="140"/>
    </row>
    <row r="164" spans="1:9" ht="49.5" customHeight="1">
      <c r="A164" s="161" t="s">
        <v>182</v>
      </c>
      <c r="B164" s="206"/>
      <c r="C164" s="304" t="s">
        <v>647</v>
      </c>
      <c r="D164" s="304" t="s">
        <v>59</v>
      </c>
      <c r="E164" s="159" t="s">
        <v>154</v>
      </c>
      <c r="F164" s="206"/>
      <c r="G164" s="178">
        <v>614168.1</v>
      </c>
      <c r="I164" s="140"/>
    </row>
    <row r="165" spans="1:9" ht="38.25">
      <c r="A165" s="162" t="s">
        <v>25</v>
      </c>
      <c r="B165" s="206"/>
      <c r="C165" s="304" t="s">
        <v>647</v>
      </c>
      <c r="D165" s="304" t="s">
        <v>59</v>
      </c>
      <c r="E165" s="163" t="s">
        <v>22</v>
      </c>
      <c r="F165" s="206"/>
      <c r="G165" s="178">
        <v>614168.1</v>
      </c>
      <c r="I165" s="140"/>
    </row>
    <row r="166" spans="1:9" ht="25.5">
      <c r="A166" s="34" t="s">
        <v>23</v>
      </c>
      <c r="B166" s="206"/>
      <c r="C166" s="304" t="s">
        <v>647</v>
      </c>
      <c r="D166" s="304" t="s">
        <v>59</v>
      </c>
      <c r="E166" s="159" t="s">
        <v>24</v>
      </c>
      <c r="F166" s="206"/>
      <c r="G166" s="178">
        <v>614168.1</v>
      </c>
      <c r="I166" s="140"/>
    </row>
    <row r="167" spans="1:9" ht="25.5">
      <c r="A167" s="153" t="s">
        <v>184</v>
      </c>
      <c r="B167" s="206"/>
      <c r="C167" s="304" t="s">
        <v>647</v>
      </c>
      <c r="D167" s="304" t="s">
        <v>59</v>
      </c>
      <c r="E167" s="159" t="s">
        <v>24</v>
      </c>
      <c r="F167" s="206">
        <v>200</v>
      </c>
      <c r="G167" s="178">
        <v>614168.1</v>
      </c>
      <c r="I167" s="140"/>
    </row>
    <row r="168" spans="1:9" ht="12.75">
      <c r="A168" s="146" t="s">
        <v>663</v>
      </c>
      <c r="B168" s="147"/>
      <c r="C168" s="147" t="s">
        <v>60</v>
      </c>
      <c r="D168" s="148" t="s">
        <v>214</v>
      </c>
      <c r="E168" s="147" t="s">
        <v>263</v>
      </c>
      <c r="F168" s="147" t="s">
        <v>263</v>
      </c>
      <c r="G168" s="183">
        <f>G169+G187+G204+G212+G227</f>
        <v>237824494.04000002</v>
      </c>
      <c r="I168" s="140"/>
    </row>
    <row r="169" spans="1:9" ht="12.75">
      <c r="A169" s="150" t="s">
        <v>664</v>
      </c>
      <c r="B169" s="151"/>
      <c r="C169" s="151" t="s">
        <v>60</v>
      </c>
      <c r="D169" s="151" t="s">
        <v>643</v>
      </c>
      <c r="E169" s="151" t="s">
        <v>263</v>
      </c>
      <c r="F169" s="151" t="s">
        <v>263</v>
      </c>
      <c r="G169" s="184">
        <f>G170</f>
        <v>93051750.48</v>
      </c>
      <c r="I169" s="140"/>
    </row>
    <row r="170" spans="1:9" ht="38.25">
      <c r="A170" s="161" t="s">
        <v>559</v>
      </c>
      <c r="B170" s="154"/>
      <c r="C170" s="154" t="s">
        <v>60</v>
      </c>
      <c r="D170" s="154" t="s">
        <v>643</v>
      </c>
      <c r="E170" s="159" t="s">
        <v>659</v>
      </c>
      <c r="F170" s="154" t="s">
        <v>263</v>
      </c>
      <c r="G170" s="152">
        <f>G171</f>
        <v>93051750.48</v>
      </c>
      <c r="I170" s="140"/>
    </row>
    <row r="171" spans="1:9" ht="51">
      <c r="A171" s="162" t="s">
        <v>558</v>
      </c>
      <c r="B171" s="154"/>
      <c r="C171" s="154" t="s">
        <v>60</v>
      </c>
      <c r="D171" s="154" t="s">
        <v>643</v>
      </c>
      <c r="E171" s="163" t="s">
        <v>660</v>
      </c>
      <c r="F171" s="155" t="s">
        <v>263</v>
      </c>
      <c r="G171" s="152">
        <f>G172+G180</f>
        <v>93051750.48</v>
      </c>
      <c r="I171" s="140"/>
    </row>
    <row r="172" spans="1:9" ht="25.5">
      <c r="A172" s="24" t="s">
        <v>208</v>
      </c>
      <c r="B172" s="154"/>
      <c r="C172" s="154" t="s">
        <v>60</v>
      </c>
      <c r="D172" s="154" t="s">
        <v>643</v>
      </c>
      <c r="E172" s="159" t="s">
        <v>661</v>
      </c>
      <c r="F172" s="155"/>
      <c r="G172" s="152">
        <f>G173+G176</f>
        <v>89045419.48</v>
      </c>
      <c r="I172" s="140"/>
    </row>
    <row r="173" spans="1:9" ht="93.75" customHeight="1">
      <c r="A173" s="14" t="s">
        <v>307</v>
      </c>
      <c r="B173" s="154"/>
      <c r="C173" s="154" t="s">
        <v>60</v>
      </c>
      <c r="D173" s="154" t="s">
        <v>643</v>
      </c>
      <c r="E173" s="159" t="s">
        <v>308</v>
      </c>
      <c r="F173" s="154" t="s">
        <v>263</v>
      </c>
      <c r="G173" s="152">
        <f>SUM(G174:G175)</f>
        <v>48099805</v>
      </c>
      <c r="I173" s="140"/>
    </row>
    <row r="174" spans="1:9" ht="63.75">
      <c r="A174" s="153" t="s">
        <v>268</v>
      </c>
      <c r="B174" s="154"/>
      <c r="C174" s="154" t="s">
        <v>60</v>
      </c>
      <c r="D174" s="154" t="s">
        <v>643</v>
      </c>
      <c r="E174" s="159" t="s">
        <v>308</v>
      </c>
      <c r="F174" s="154" t="s">
        <v>592</v>
      </c>
      <c r="G174" s="156">
        <v>47613825</v>
      </c>
      <c r="I174" s="140"/>
    </row>
    <row r="175" spans="1:9" ht="25.5">
      <c r="A175" s="153" t="s">
        <v>184</v>
      </c>
      <c r="B175" s="154"/>
      <c r="C175" s="154" t="s">
        <v>60</v>
      </c>
      <c r="D175" s="154" t="s">
        <v>643</v>
      </c>
      <c r="E175" s="159" t="s">
        <v>308</v>
      </c>
      <c r="F175" s="154" t="s">
        <v>250</v>
      </c>
      <c r="G175" s="156">
        <v>485980</v>
      </c>
      <c r="I175" s="140"/>
    </row>
    <row r="176" spans="1:9" ht="25.5">
      <c r="A176" s="155" t="s">
        <v>283</v>
      </c>
      <c r="B176" s="154"/>
      <c r="C176" s="154" t="s">
        <v>60</v>
      </c>
      <c r="D176" s="154" t="s">
        <v>643</v>
      </c>
      <c r="E176" s="159" t="s">
        <v>309</v>
      </c>
      <c r="F176" s="154"/>
      <c r="G176" s="152">
        <f>SUM(G177:G179)</f>
        <v>40945614.480000004</v>
      </c>
      <c r="I176" s="140"/>
    </row>
    <row r="177" spans="1:9" ht="63.75">
      <c r="A177" s="153" t="s">
        <v>268</v>
      </c>
      <c r="B177" s="154"/>
      <c r="C177" s="154" t="s">
        <v>60</v>
      </c>
      <c r="D177" s="154" t="s">
        <v>643</v>
      </c>
      <c r="E177" s="159" t="s">
        <v>309</v>
      </c>
      <c r="F177" s="154">
        <v>100</v>
      </c>
      <c r="G177" s="156">
        <v>14715324</v>
      </c>
      <c r="I177" s="140"/>
    </row>
    <row r="178" spans="1:9" ht="25.5">
      <c r="A178" s="153" t="s">
        <v>184</v>
      </c>
      <c r="B178" s="154"/>
      <c r="C178" s="154" t="s">
        <v>60</v>
      </c>
      <c r="D178" s="154" t="s">
        <v>643</v>
      </c>
      <c r="E178" s="159" t="s">
        <v>309</v>
      </c>
      <c r="F178" s="154">
        <v>200</v>
      </c>
      <c r="G178" s="156">
        <v>23913890.48</v>
      </c>
      <c r="I178" s="140"/>
    </row>
    <row r="179" spans="1:9" ht="12.75">
      <c r="A179" s="153" t="s">
        <v>253</v>
      </c>
      <c r="B179" s="154"/>
      <c r="C179" s="154" t="s">
        <v>60</v>
      </c>
      <c r="D179" s="154" t="s">
        <v>643</v>
      </c>
      <c r="E179" s="159" t="s">
        <v>309</v>
      </c>
      <c r="F179" s="154">
        <v>800</v>
      </c>
      <c r="G179" s="156">
        <v>2316400</v>
      </c>
      <c r="I179" s="140"/>
    </row>
    <row r="180" spans="1:9" ht="25.5">
      <c r="A180" s="34" t="s">
        <v>508</v>
      </c>
      <c r="B180" s="173"/>
      <c r="C180" s="173" t="s">
        <v>60</v>
      </c>
      <c r="D180" s="173" t="s">
        <v>643</v>
      </c>
      <c r="E180" s="175" t="s">
        <v>358</v>
      </c>
      <c r="F180" s="154"/>
      <c r="G180" s="152">
        <f>G181+G183+G185</f>
        <v>4006331</v>
      </c>
      <c r="I180" s="140"/>
    </row>
    <row r="181" spans="1:9" ht="25.5">
      <c r="A181" s="101" t="s">
        <v>477</v>
      </c>
      <c r="B181" s="173"/>
      <c r="C181" s="173" t="s">
        <v>60</v>
      </c>
      <c r="D181" s="173" t="s">
        <v>643</v>
      </c>
      <c r="E181" s="159" t="s">
        <v>171</v>
      </c>
      <c r="F181" s="154"/>
      <c r="G181" s="152">
        <v>2190481</v>
      </c>
      <c r="I181" s="140"/>
    </row>
    <row r="182" spans="1:9" ht="25.5">
      <c r="A182" s="153" t="s">
        <v>184</v>
      </c>
      <c r="B182" s="173"/>
      <c r="C182" s="173" t="s">
        <v>60</v>
      </c>
      <c r="D182" s="173" t="s">
        <v>643</v>
      </c>
      <c r="E182" s="159" t="s">
        <v>171</v>
      </c>
      <c r="F182" s="154">
        <v>200</v>
      </c>
      <c r="G182" s="152">
        <v>2190481</v>
      </c>
      <c r="I182" s="140"/>
    </row>
    <row r="183" spans="1:9" ht="25.5">
      <c r="A183" s="305" t="s">
        <v>433</v>
      </c>
      <c r="B183" s="154"/>
      <c r="C183" s="154" t="s">
        <v>60</v>
      </c>
      <c r="D183" s="154" t="s">
        <v>643</v>
      </c>
      <c r="E183" s="159" t="s">
        <v>432</v>
      </c>
      <c r="F183" s="154"/>
      <c r="G183" s="152">
        <v>1180303</v>
      </c>
      <c r="I183" s="140"/>
    </row>
    <row r="184" spans="1:9" ht="25.5">
      <c r="A184" s="153" t="s">
        <v>184</v>
      </c>
      <c r="B184" s="154"/>
      <c r="C184" s="154" t="s">
        <v>60</v>
      </c>
      <c r="D184" s="154" t="s">
        <v>643</v>
      </c>
      <c r="E184" s="159" t="s">
        <v>432</v>
      </c>
      <c r="F184" s="154">
        <v>200</v>
      </c>
      <c r="G184" s="152">
        <v>1180303</v>
      </c>
      <c r="I184" s="140"/>
    </row>
    <row r="185" spans="1:9" ht="25.5">
      <c r="A185" s="33" t="s">
        <v>601</v>
      </c>
      <c r="B185" s="154"/>
      <c r="C185" s="154" t="s">
        <v>60</v>
      </c>
      <c r="D185" s="154" t="s">
        <v>643</v>
      </c>
      <c r="E185" s="159" t="s">
        <v>336</v>
      </c>
      <c r="F185" s="154"/>
      <c r="G185" s="152">
        <f>G186</f>
        <v>635547</v>
      </c>
      <c r="I185" s="140"/>
    </row>
    <row r="186" spans="1:9" ht="25.5">
      <c r="A186" s="153" t="s">
        <v>184</v>
      </c>
      <c r="B186" s="154"/>
      <c r="C186" s="154" t="s">
        <v>60</v>
      </c>
      <c r="D186" s="154" t="s">
        <v>643</v>
      </c>
      <c r="E186" s="159" t="s">
        <v>336</v>
      </c>
      <c r="F186" s="154">
        <v>200</v>
      </c>
      <c r="G186" s="156">
        <v>635547</v>
      </c>
      <c r="I186" s="140"/>
    </row>
    <row r="187" spans="1:9" ht="12.75">
      <c r="A187" s="150" t="s">
        <v>665</v>
      </c>
      <c r="B187" s="151"/>
      <c r="C187" s="151" t="s">
        <v>60</v>
      </c>
      <c r="D187" s="151" t="s">
        <v>645</v>
      </c>
      <c r="E187" s="151" t="s">
        <v>263</v>
      </c>
      <c r="F187" s="151" t="s">
        <v>263</v>
      </c>
      <c r="G187" s="184">
        <f>G188</f>
        <v>112158776</v>
      </c>
      <c r="I187" s="140"/>
    </row>
    <row r="188" spans="1:9" ht="38.25">
      <c r="A188" s="161" t="s">
        <v>559</v>
      </c>
      <c r="B188" s="154"/>
      <c r="C188" s="154" t="s">
        <v>60</v>
      </c>
      <c r="D188" s="154" t="s">
        <v>645</v>
      </c>
      <c r="E188" s="159" t="s">
        <v>659</v>
      </c>
      <c r="F188" s="154" t="s">
        <v>263</v>
      </c>
      <c r="G188" s="152">
        <f>G189+G200</f>
        <v>112158776</v>
      </c>
      <c r="I188" s="140"/>
    </row>
    <row r="189" spans="1:9" ht="51">
      <c r="A189" s="162" t="s">
        <v>558</v>
      </c>
      <c r="B189" s="154"/>
      <c r="C189" s="154" t="s">
        <v>60</v>
      </c>
      <c r="D189" s="154" t="s">
        <v>645</v>
      </c>
      <c r="E189" s="159" t="s">
        <v>660</v>
      </c>
      <c r="F189" s="155" t="s">
        <v>263</v>
      </c>
      <c r="G189" s="152">
        <f>G190+G195</f>
        <v>109258776</v>
      </c>
      <c r="I189" s="140"/>
    </row>
    <row r="190" spans="1:9" ht="25.5">
      <c r="A190" s="24" t="s">
        <v>210</v>
      </c>
      <c r="B190" s="154"/>
      <c r="C190" s="154" t="s">
        <v>60</v>
      </c>
      <c r="D190" s="154" t="s">
        <v>645</v>
      </c>
      <c r="E190" s="159" t="s">
        <v>310</v>
      </c>
      <c r="F190" s="155"/>
      <c r="G190" s="152">
        <f>G191+G193</f>
        <v>106846110</v>
      </c>
      <c r="I190" s="140"/>
    </row>
    <row r="191" spans="1:9" ht="102">
      <c r="A191" s="14" t="s">
        <v>519</v>
      </c>
      <c r="B191" s="154"/>
      <c r="C191" s="154" t="s">
        <v>60</v>
      </c>
      <c r="D191" s="154" t="s">
        <v>645</v>
      </c>
      <c r="E191" s="159" t="s">
        <v>311</v>
      </c>
      <c r="F191" s="154" t="s">
        <v>263</v>
      </c>
      <c r="G191" s="152">
        <f>G192</f>
        <v>88283012</v>
      </c>
      <c r="I191" s="140"/>
    </row>
    <row r="192" spans="1:9" ht="38.25">
      <c r="A192" s="153" t="s">
        <v>266</v>
      </c>
      <c r="B192" s="154"/>
      <c r="C192" s="154" t="s">
        <v>60</v>
      </c>
      <c r="D192" s="154" t="s">
        <v>645</v>
      </c>
      <c r="E192" s="159" t="s">
        <v>311</v>
      </c>
      <c r="F192" s="154">
        <v>600</v>
      </c>
      <c r="G192" s="156">
        <v>88283012</v>
      </c>
      <c r="I192" s="140"/>
    </row>
    <row r="193" spans="1:9" ht="25.5">
      <c r="A193" s="155" t="s">
        <v>283</v>
      </c>
      <c r="B193" s="154"/>
      <c r="C193" s="154" t="s">
        <v>60</v>
      </c>
      <c r="D193" s="154" t="s">
        <v>645</v>
      </c>
      <c r="E193" s="159" t="s">
        <v>312</v>
      </c>
      <c r="F193" s="154"/>
      <c r="G193" s="152">
        <f>G194</f>
        <v>18563098</v>
      </c>
      <c r="I193" s="140"/>
    </row>
    <row r="194" spans="1:9" ht="38.25">
      <c r="A194" s="153" t="s">
        <v>266</v>
      </c>
      <c r="B194" s="154"/>
      <c r="C194" s="154" t="s">
        <v>60</v>
      </c>
      <c r="D194" s="154" t="s">
        <v>645</v>
      </c>
      <c r="E194" s="159" t="s">
        <v>312</v>
      </c>
      <c r="F194" s="154">
        <v>600</v>
      </c>
      <c r="G194" s="156">
        <v>18563098</v>
      </c>
      <c r="I194" s="140"/>
    </row>
    <row r="195" spans="1:9" ht="25.5">
      <c r="A195" s="34" t="s">
        <v>211</v>
      </c>
      <c r="B195" s="173"/>
      <c r="C195" s="173" t="s">
        <v>60</v>
      </c>
      <c r="D195" s="173" t="s">
        <v>645</v>
      </c>
      <c r="E195" s="175" t="s">
        <v>313</v>
      </c>
      <c r="F195" s="154"/>
      <c r="G195" s="156">
        <f>G196+G198</f>
        <v>2412666</v>
      </c>
      <c r="I195" s="140"/>
    </row>
    <row r="196" spans="1:9" ht="66.75" customHeight="1">
      <c r="A196" s="109" t="s">
        <v>434</v>
      </c>
      <c r="B196" s="173"/>
      <c r="C196" s="37" t="s">
        <v>60</v>
      </c>
      <c r="D196" s="37" t="s">
        <v>645</v>
      </c>
      <c r="E196" s="30" t="s">
        <v>435</v>
      </c>
      <c r="F196" s="15"/>
      <c r="G196" s="156">
        <v>223284</v>
      </c>
      <c r="I196" s="140"/>
    </row>
    <row r="197" spans="1:9" ht="33.75" customHeight="1">
      <c r="A197" s="35" t="s">
        <v>266</v>
      </c>
      <c r="B197" s="173"/>
      <c r="C197" s="37" t="s">
        <v>60</v>
      </c>
      <c r="D197" s="37" t="s">
        <v>645</v>
      </c>
      <c r="E197" s="30" t="s">
        <v>435</v>
      </c>
      <c r="F197" s="15">
        <v>600</v>
      </c>
      <c r="G197" s="156">
        <v>223284</v>
      </c>
      <c r="I197" s="140"/>
    </row>
    <row r="198" spans="1:9" ht="63.75">
      <c r="A198" s="33" t="s">
        <v>544</v>
      </c>
      <c r="B198" s="173"/>
      <c r="C198" s="173" t="s">
        <v>60</v>
      </c>
      <c r="D198" s="173" t="s">
        <v>645</v>
      </c>
      <c r="E198" s="175" t="s">
        <v>314</v>
      </c>
      <c r="F198" s="173"/>
      <c r="G198" s="152">
        <f>G199</f>
        <v>2189382</v>
      </c>
      <c r="I198" s="140"/>
    </row>
    <row r="199" spans="1:9" ht="30" customHeight="1">
      <c r="A199" s="169" t="s">
        <v>266</v>
      </c>
      <c r="B199" s="173"/>
      <c r="C199" s="173" t="s">
        <v>60</v>
      </c>
      <c r="D199" s="173" t="s">
        <v>645</v>
      </c>
      <c r="E199" s="175" t="s">
        <v>314</v>
      </c>
      <c r="F199" s="173">
        <v>600</v>
      </c>
      <c r="G199" s="185">
        <v>2189382</v>
      </c>
      <c r="I199" s="140"/>
    </row>
    <row r="200" spans="1:9" ht="63" customHeight="1">
      <c r="A200" s="13" t="s">
        <v>92</v>
      </c>
      <c r="B200" s="173"/>
      <c r="C200" s="15" t="s">
        <v>60</v>
      </c>
      <c r="D200" s="15" t="s">
        <v>645</v>
      </c>
      <c r="E200" s="17" t="s">
        <v>93</v>
      </c>
      <c r="F200" s="37"/>
      <c r="G200" s="322">
        <v>2900000</v>
      </c>
      <c r="I200" s="140"/>
    </row>
    <row r="201" spans="1:9" ht="63" customHeight="1">
      <c r="A201" s="323" t="s">
        <v>94</v>
      </c>
      <c r="B201" s="173"/>
      <c r="C201" s="15" t="s">
        <v>60</v>
      </c>
      <c r="D201" s="15" t="s">
        <v>645</v>
      </c>
      <c r="E201" s="17" t="s">
        <v>95</v>
      </c>
      <c r="F201" s="37"/>
      <c r="G201" s="322">
        <v>2900000</v>
      </c>
      <c r="I201" s="140"/>
    </row>
    <row r="202" spans="1:9" ht="47.25" customHeight="1">
      <c r="A202" s="109" t="s">
        <v>96</v>
      </c>
      <c r="B202" s="173"/>
      <c r="C202" s="15" t="s">
        <v>60</v>
      </c>
      <c r="D202" s="15" t="s">
        <v>645</v>
      </c>
      <c r="E202" s="17" t="s">
        <v>97</v>
      </c>
      <c r="F202" s="37"/>
      <c r="G202" s="322">
        <v>2900000</v>
      </c>
      <c r="I202" s="140"/>
    </row>
    <row r="203" spans="1:9" ht="30" customHeight="1">
      <c r="A203" s="35" t="s">
        <v>98</v>
      </c>
      <c r="B203" s="173"/>
      <c r="C203" s="15" t="s">
        <v>60</v>
      </c>
      <c r="D203" s="15" t="s">
        <v>645</v>
      </c>
      <c r="E203" s="17" t="s">
        <v>97</v>
      </c>
      <c r="F203" s="37">
        <v>400</v>
      </c>
      <c r="G203" s="322">
        <v>2900000</v>
      </c>
      <c r="I203" s="140"/>
    </row>
    <row r="204" spans="1:9" ht="12.75">
      <c r="A204" s="172" t="s">
        <v>162</v>
      </c>
      <c r="B204" s="173"/>
      <c r="C204" s="173" t="s">
        <v>60</v>
      </c>
      <c r="D204" s="186" t="s">
        <v>676</v>
      </c>
      <c r="E204" s="175"/>
      <c r="F204" s="173"/>
      <c r="G204" s="184">
        <f>G205</f>
        <v>25281286.56</v>
      </c>
      <c r="I204" s="140"/>
    </row>
    <row r="205" spans="1:9" ht="38.25">
      <c r="A205" s="161" t="s">
        <v>557</v>
      </c>
      <c r="B205" s="154"/>
      <c r="C205" s="154" t="s">
        <v>60</v>
      </c>
      <c r="D205" s="182" t="s">
        <v>676</v>
      </c>
      <c r="E205" s="159" t="s">
        <v>659</v>
      </c>
      <c r="F205" s="154"/>
      <c r="G205" s="152">
        <f>G206</f>
        <v>25281286.56</v>
      </c>
      <c r="I205" s="140"/>
    </row>
    <row r="206" spans="1:9" ht="51">
      <c r="A206" s="162" t="s">
        <v>124</v>
      </c>
      <c r="B206" s="154"/>
      <c r="C206" s="154" t="s">
        <v>60</v>
      </c>
      <c r="D206" s="182" t="s">
        <v>676</v>
      </c>
      <c r="E206" s="163" t="s">
        <v>315</v>
      </c>
      <c r="F206" s="155" t="s">
        <v>263</v>
      </c>
      <c r="G206" s="152">
        <f>G207</f>
        <v>25281286.56</v>
      </c>
      <c r="I206" s="140"/>
    </row>
    <row r="207" spans="1:9" ht="38.25">
      <c r="A207" s="24" t="s">
        <v>212</v>
      </c>
      <c r="B207" s="154"/>
      <c r="C207" s="154" t="s">
        <v>60</v>
      </c>
      <c r="D207" s="182" t="s">
        <v>676</v>
      </c>
      <c r="E207" s="159" t="s">
        <v>316</v>
      </c>
      <c r="F207" s="155"/>
      <c r="G207" s="152">
        <f>G208</f>
        <v>25281286.56</v>
      </c>
      <c r="I207" s="140"/>
    </row>
    <row r="208" spans="1:9" ht="25.5">
      <c r="A208" s="155" t="s">
        <v>283</v>
      </c>
      <c r="B208" s="154"/>
      <c r="C208" s="154" t="s">
        <v>60</v>
      </c>
      <c r="D208" s="182" t="s">
        <v>676</v>
      </c>
      <c r="E208" s="159" t="s">
        <v>317</v>
      </c>
      <c r="F208" s="154" t="s">
        <v>263</v>
      </c>
      <c r="G208" s="152">
        <f>SUM(G209:G211)</f>
        <v>25281286.56</v>
      </c>
      <c r="I208" s="140"/>
    </row>
    <row r="209" spans="1:9" ht="63.75">
      <c r="A209" s="153" t="s">
        <v>268</v>
      </c>
      <c r="B209" s="154"/>
      <c r="C209" s="154" t="s">
        <v>60</v>
      </c>
      <c r="D209" s="182" t="s">
        <v>676</v>
      </c>
      <c r="E209" s="159" t="s">
        <v>317</v>
      </c>
      <c r="F209" s="154">
        <v>100</v>
      </c>
      <c r="G209" s="156">
        <v>23184531</v>
      </c>
      <c r="I209" s="140"/>
    </row>
    <row r="210" spans="1:9" ht="25.5">
      <c r="A210" s="153" t="s">
        <v>184</v>
      </c>
      <c r="B210" s="154"/>
      <c r="C210" s="154" t="s">
        <v>60</v>
      </c>
      <c r="D210" s="182" t="s">
        <v>676</v>
      </c>
      <c r="E210" s="159" t="s">
        <v>317</v>
      </c>
      <c r="F210" s="154">
        <v>200</v>
      </c>
      <c r="G210" s="156">
        <v>1475297.56</v>
      </c>
      <c r="I210" s="140"/>
    </row>
    <row r="211" spans="1:9" ht="12.75">
      <c r="A211" s="153" t="s">
        <v>253</v>
      </c>
      <c r="B211" s="154"/>
      <c r="C211" s="154" t="s">
        <v>60</v>
      </c>
      <c r="D211" s="182" t="s">
        <v>676</v>
      </c>
      <c r="E211" s="159" t="s">
        <v>317</v>
      </c>
      <c r="F211" s="154">
        <v>800</v>
      </c>
      <c r="G211" s="156">
        <v>621458</v>
      </c>
      <c r="I211" s="140"/>
    </row>
    <row r="212" spans="1:9" ht="12.75">
      <c r="A212" s="150" t="s">
        <v>163</v>
      </c>
      <c r="B212" s="151"/>
      <c r="C212" s="151" t="s">
        <v>60</v>
      </c>
      <c r="D212" s="151" t="s">
        <v>60</v>
      </c>
      <c r="E212" s="151" t="s">
        <v>263</v>
      </c>
      <c r="F212" s="151" t="s">
        <v>263</v>
      </c>
      <c r="G212" s="184">
        <f>G213</f>
        <v>1427654</v>
      </c>
      <c r="I212" s="140"/>
    </row>
    <row r="213" spans="1:9" ht="63.75">
      <c r="A213" s="161" t="s">
        <v>450</v>
      </c>
      <c r="B213" s="154"/>
      <c r="C213" s="154" t="s">
        <v>60</v>
      </c>
      <c r="D213" s="154" t="s">
        <v>60</v>
      </c>
      <c r="E213" s="159" t="s">
        <v>449</v>
      </c>
      <c r="F213" s="154" t="s">
        <v>263</v>
      </c>
      <c r="G213" s="152">
        <f>G214</f>
        <v>1427654</v>
      </c>
      <c r="I213" s="140"/>
    </row>
    <row r="214" spans="1:9" ht="89.25">
      <c r="A214" s="13" t="s">
        <v>621</v>
      </c>
      <c r="B214" s="154"/>
      <c r="C214" s="154" t="s">
        <v>60</v>
      </c>
      <c r="D214" s="154" t="s">
        <v>60</v>
      </c>
      <c r="E214" s="163" t="s">
        <v>306</v>
      </c>
      <c r="F214" s="155" t="s">
        <v>263</v>
      </c>
      <c r="G214" s="152">
        <f>G215+G224</f>
        <v>1427654</v>
      </c>
      <c r="I214" s="140"/>
    </row>
    <row r="215" spans="1:9" ht="25.5">
      <c r="A215" s="27" t="s">
        <v>305</v>
      </c>
      <c r="B215" s="154"/>
      <c r="C215" s="154" t="s">
        <v>60</v>
      </c>
      <c r="D215" s="154" t="s">
        <v>60</v>
      </c>
      <c r="E215" s="159" t="s">
        <v>304</v>
      </c>
      <c r="F215" s="155"/>
      <c r="G215" s="152">
        <f>G216+G218+G221</f>
        <v>1406089</v>
      </c>
      <c r="I215" s="140"/>
    </row>
    <row r="216" spans="1:9" ht="12.75">
      <c r="A216" s="27" t="s">
        <v>303</v>
      </c>
      <c r="B216" s="154"/>
      <c r="C216" s="154" t="s">
        <v>60</v>
      </c>
      <c r="D216" s="154" t="s">
        <v>60</v>
      </c>
      <c r="E216" s="159" t="s">
        <v>302</v>
      </c>
      <c r="F216" s="155"/>
      <c r="G216" s="152">
        <f>G217</f>
        <v>10000</v>
      </c>
      <c r="I216" s="140"/>
    </row>
    <row r="217" spans="1:9" ht="38.25">
      <c r="A217" s="153" t="s">
        <v>266</v>
      </c>
      <c r="B217" s="154"/>
      <c r="C217" s="154" t="s">
        <v>60</v>
      </c>
      <c r="D217" s="154" t="s">
        <v>60</v>
      </c>
      <c r="E217" s="159" t="s">
        <v>302</v>
      </c>
      <c r="F217" s="155">
        <v>600</v>
      </c>
      <c r="G217" s="156">
        <v>10000</v>
      </c>
      <c r="I217" s="140"/>
    </row>
    <row r="218" spans="1:9" ht="12.75">
      <c r="A218" s="305" t="s">
        <v>436</v>
      </c>
      <c r="B218" s="154"/>
      <c r="C218" s="15" t="s">
        <v>60</v>
      </c>
      <c r="D218" s="15" t="s">
        <v>60</v>
      </c>
      <c r="E218" s="17" t="s">
        <v>437</v>
      </c>
      <c r="F218" s="16"/>
      <c r="G218" s="156">
        <f>G219+G220</f>
        <v>500219</v>
      </c>
      <c r="I218" s="140"/>
    </row>
    <row r="219" spans="1:9" ht="14.25" customHeight="1">
      <c r="A219" s="14" t="s">
        <v>257</v>
      </c>
      <c r="B219" s="154"/>
      <c r="C219" s="15" t="s">
        <v>60</v>
      </c>
      <c r="D219" s="15" t="s">
        <v>60</v>
      </c>
      <c r="E219" s="17" t="s">
        <v>437</v>
      </c>
      <c r="F219" s="16">
        <v>300</v>
      </c>
      <c r="G219" s="156">
        <v>281983</v>
      </c>
      <c r="I219" s="140"/>
    </row>
    <row r="220" spans="1:9" ht="23.25" customHeight="1">
      <c r="A220" s="14" t="s">
        <v>266</v>
      </c>
      <c r="B220" s="154"/>
      <c r="C220" s="15" t="s">
        <v>60</v>
      </c>
      <c r="D220" s="15" t="s">
        <v>60</v>
      </c>
      <c r="E220" s="17" t="s">
        <v>437</v>
      </c>
      <c r="F220" s="16">
        <v>600</v>
      </c>
      <c r="G220" s="156">
        <v>218236</v>
      </c>
      <c r="I220" s="140"/>
    </row>
    <row r="221" spans="1:9" ht="25.5">
      <c r="A221" s="33" t="s">
        <v>284</v>
      </c>
      <c r="B221" s="154"/>
      <c r="C221" s="154" t="s">
        <v>60</v>
      </c>
      <c r="D221" s="154" t="s">
        <v>60</v>
      </c>
      <c r="E221" s="159" t="s">
        <v>285</v>
      </c>
      <c r="F221" s="155"/>
      <c r="G221" s="152">
        <f>G222+G223</f>
        <v>895870</v>
      </c>
      <c r="I221" s="140"/>
    </row>
    <row r="222" spans="1:9" ht="18" customHeight="1">
      <c r="A222" s="153" t="s">
        <v>257</v>
      </c>
      <c r="B222" s="154"/>
      <c r="C222" s="154" t="s">
        <v>60</v>
      </c>
      <c r="D222" s="154" t="s">
        <v>60</v>
      </c>
      <c r="E222" s="159" t="s">
        <v>285</v>
      </c>
      <c r="F222" s="155">
        <v>300</v>
      </c>
      <c r="G222" s="156">
        <v>489326</v>
      </c>
      <c r="I222" s="140"/>
    </row>
    <row r="223" spans="1:9" ht="38.25">
      <c r="A223" s="153" t="s">
        <v>266</v>
      </c>
      <c r="B223" s="154"/>
      <c r="C223" s="154" t="s">
        <v>60</v>
      </c>
      <c r="D223" s="154" t="s">
        <v>60</v>
      </c>
      <c r="E223" s="159" t="s">
        <v>285</v>
      </c>
      <c r="F223" s="155">
        <v>600</v>
      </c>
      <c r="G223" s="156">
        <v>406544</v>
      </c>
      <c r="I223" s="140"/>
    </row>
    <row r="224" spans="1:9" ht="51">
      <c r="A224" s="28" t="s">
        <v>561</v>
      </c>
      <c r="B224" s="173"/>
      <c r="C224" s="173" t="s">
        <v>60</v>
      </c>
      <c r="D224" s="173" t="s">
        <v>60</v>
      </c>
      <c r="E224" s="175" t="s">
        <v>562</v>
      </c>
      <c r="F224" s="187"/>
      <c r="G224" s="152">
        <f>G225</f>
        <v>21565</v>
      </c>
      <c r="I224" s="140"/>
    </row>
    <row r="225" spans="1:9" ht="25.5">
      <c r="A225" s="28" t="s">
        <v>564</v>
      </c>
      <c r="B225" s="173"/>
      <c r="C225" s="173" t="s">
        <v>60</v>
      </c>
      <c r="D225" s="173" t="s">
        <v>60</v>
      </c>
      <c r="E225" s="175" t="s">
        <v>563</v>
      </c>
      <c r="F225" s="187"/>
      <c r="G225" s="152">
        <f>G226</f>
        <v>21565</v>
      </c>
      <c r="I225" s="140"/>
    </row>
    <row r="226" spans="1:9" ht="25.5">
      <c r="A226" s="169" t="s">
        <v>184</v>
      </c>
      <c r="B226" s="173"/>
      <c r="C226" s="173" t="s">
        <v>60</v>
      </c>
      <c r="D226" s="173" t="s">
        <v>60</v>
      </c>
      <c r="E226" s="175" t="s">
        <v>563</v>
      </c>
      <c r="F226" s="187">
        <v>200</v>
      </c>
      <c r="G226" s="185">
        <v>21565</v>
      </c>
      <c r="I226" s="140"/>
    </row>
    <row r="227" spans="1:9" ht="12.75">
      <c r="A227" s="150" t="s">
        <v>666</v>
      </c>
      <c r="B227" s="151"/>
      <c r="C227" s="151" t="s">
        <v>60</v>
      </c>
      <c r="D227" s="151" t="s">
        <v>677</v>
      </c>
      <c r="E227" s="151" t="s">
        <v>263</v>
      </c>
      <c r="F227" s="151" t="s">
        <v>263</v>
      </c>
      <c r="G227" s="184">
        <f>G228</f>
        <v>5905027</v>
      </c>
      <c r="I227" s="140"/>
    </row>
    <row r="228" spans="1:9" ht="38.25">
      <c r="A228" s="161" t="s">
        <v>557</v>
      </c>
      <c r="B228" s="154"/>
      <c r="C228" s="154" t="s">
        <v>60</v>
      </c>
      <c r="D228" s="154" t="s">
        <v>677</v>
      </c>
      <c r="E228" s="159" t="s">
        <v>659</v>
      </c>
      <c r="F228" s="154" t="s">
        <v>263</v>
      </c>
      <c r="G228" s="152">
        <f>G229+G238</f>
        <v>5905027</v>
      </c>
      <c r="I228" s="140"/>
    </row>
    <row r="229" spans="1:9" ht="51">
      <c r="A229" s="162" t="s">
        <v>478</v>
      </c>
      <c r="B229" s="154"/>
      <c r="C229" s="154" t="s">
        <v>60</v>
      </c>
      <c r="D229" s="154" t="s">
        <v>677</v>
      </c>
      <c r="E229" s="159" t="s">
        <v>318</v>
      </c>
      <c r="F229" s="155" t="s">
        <v>263</v>
      </c>
      <c r="G229" s="152">
        <f>G230+G233</f>
        <v>5898027</v>
      </c>
      <c r="I229" s="140"/>
    </row>
    <row r="230" spans="1:9" ht="51">
      <c r="A230" s="24" t="s">
        <v>213</v>
      </c>
      <c r="B230" s="154"/>
      <c r="C230" s="154" t="s">
        <v>60</v>
      </c>
      <c r="D230" s="154" t="s">
        <v>677</v>
      </c>
      <c r="E230" s="159" t="s">
        <v>319</v>
      </c>
      <c r="F230" s="155"/>
      <c r="G230" s="152">
        <f>G231</f>
        <v>221676</v>
      </c>
      <c r="I230" s="140"/>
    </row>
    <row r="231" spans="1:9" ht="38.25">
      <c r="A231" s="153" t="s">
        <v>700</v>
      </c>
      <c r="B231" s="154"/>
      <c r="C231" s="154" t="s">
        <v>60</v>
      </c>
      <c r="D231" s="154" t="s">
        <v>677</v>
      </c>
      <c r="E231" s="159" t="s">
        <v>320</v>
      </c>
      <c r="F231" s="154"/>
      <c r="G231" s="152">
        <f>G232</f>
        <v>221676</v>
      </c>
      <c r="I231" s="140"/>
    </row>
    <row r="232" spans="1:9" ht="63.75">
      <c r="A232" s="153" t="s">
        <v>268</v>
      </c>
      <c r="B232" s="154"/>
      <c r="C232" s="154" t="s">
        <v>60</v>
      </c>
      <c r="D232" s="154" t="s">
        <v>677</v>
      </c>
      <c r="E232" s="159" t="s">
        <v>320</v>
      </c>
      <c r="F232" s="154">
        <v>100</v>
      </c>
      <c r="G232" s="156">
        <v>221676</v>
      </c>
      <c r="I232" s="140"/>
    </row>
    <row r="233" spans="1:9" ht="38.25">
      <c r="A233" s="27" t="s">
        <v>335</v>
      </c>
      <c r="B233" s="154"/>
      <c r="C233" s="154" t="s">
        <v>60</v>
      </c>
      <c r="D233" s="154" t="s">
        <v>677</v>
      </c>
      <c r="E233" s="159" t="s">
        <v>322</v>
      </c>
      <c r="F233" s="154"/>
      <c r="G233" s="152">
        <f>G234</f>
        <v>5676351</v>
      </c>
      <c r="I233" s="140"/>
    </row>
    <row r="234" spans="1:9" ht="25.5">
      <c r="A234" s="155" t="s">
        <v>283</v>
      </c>
      <c r="B234" s="154"/>
      <c r="C234" s="154" t="s">
        <v>60</v>
      </c>
      <c r="D234" s="154" t="s">
        <v>677</v>
      </c>
      <c r="E234" s="159" t="s">
        <v>323</v>
      </c>
      <c r="F234" s="154" t="s">
        <v>263</v>
      </c>
      <c r="G234" s="152">
        <f>SUM(G235:G237)</f>
        <v>5676351</v>
      </c>
      <c r="I234" s="140"/>
    </row>
    <row r="235" spans="1:9" ht="63.75">
      <c r="A235" s="153" t="s">
        <v>268</v>
      </c>
      <c r="B235" s="154"/>
      <c r="C235" s="154" t="s">
        <v>60</v>
      </c>
      <c r="D235" s="154" t="s">
        <v>677</v>
      </c>
      <c r="E235" s="159" t="s">
        <v>323</v>
      </c>
      <c r="F235" s="154" t="s">
        <v>592</v>
      </c>
      <c r="G235" s="156">
        <v>4573735</v>
      </c>
      <c r="I235" s="140"/>
    </row>
    <row r="236" spans="1:9" ht="25.5">
      <c r="A236" s="165" t="s">
        <v>184</v>
      </c>
      <c r="B236" s="166"/>
      <c r="C236" s="166" t="s">
        <v>60</v>
      </c>
      <c r="D236" s="166" t="s">
        <v>677</v>
      </c>
      <c r="E236" s="167" t="s">
        <v>323</v>
      </c>
      <c r="F236" s="166" t="s">
        <v>250</v>
      </c>
      <c r="G236" s="168">
        <v>1071930</v>
      </c>
      <c r="I236" s="140"/>
    </row>
    <row r="237" spans="1:9" ht="12.75">
      <c r="A237" s="153" t="s">
        <v>253</v>
      </c>
      <c r="B237" s="143"/>
      <c r="C237" s="166" t="s">
        <v>60</v>
      </c>
      <c r="D237" s="166" t="s">
        <v>677</v>
      </c>
      <c r="E237" s="167" t="s">
        <v>323</v>
      </c>
      <c r="F237" s="143">
        <v>800</v>
      </c>
      <c r="G237" s="170">
        <v>30686</v>
      </c>
      <c r="I237" s="140"/>
    </row>
    <row r="238" spans="1:9" ht="51">
      <c r="A238" s="162" t="s">
        <v>228</v>
      </c>
      <c r="B238" s="181"/>
      <c r="C238" s="166" t="s">
        <v>60</v>
      </c>
      <c r="D238" s="166" t="s">
        <v>677</v>
      </c>
      <c r="E238" s="163" t="s">
        <v>660</v>
      </c>
      <c r="F238" s="154"/>
      <c r="G238" s="152">
        <f>G239</f>
        <v>7000</v>
      </c>
      <c r="I238" s="140"/>
    </row>
    <row r="239" spans="1:9" ht="25.5">
      <c r="A239" s="34" t="s">
        <v>211</v>
      </c>
      <c r="B239" s="181"/>
      <c r="C239" s="166" t="s">
        <v>60</v>
      </c>
      <c r="D239" s="166" t="s">
        <v>677</v>
      </c>
      <c r="E239" s="163" t="s">
        <v>313</v>
      </c>
      <c r="F239" s="154"/>
      <c r="G239" s="152">
        <f>G240</f>
        <v>7000</v>
      </c>
      <c r="I239" s="140"/>
    </row>
    <row r="240" spans="1:9" ht="12.75">
      <c r="A240" s="31" t="s">
        <v>234</v>
      </c>
      <c r="B240" s="181"/>
      <c r="C240" s="166" t="s">
        <v>60</v>
      </c>
      <c r="D240" s="166" t="s">
        <v>677</v>
      </c>
      <c r="E240" s="159" t="s">
        <v>233</v>
      </c>
      <c r="F240" s="154"/>
      <c r="G240" s="152">
        <f>G241</f>
        <v>7000</v>
      </c>
      <c r="I240" s="140"/>
    </row>
    <row r="241" spans="1:9" ht="19.5" customHeight="1">
      <c r="A241" s="153" t="s">
        <v>257</v>
      </c>
      <c r="B241" s="181"/>
      <c r="C241" s="166" t="s">
        <v>60</v>
      </c>
      <c r="D241" s="166" t="s">
        <v>677</v>
      </c>
      <c r="E241" s="159" t="s">
        <v>233</v>
      </c>
      <c r="F241" s="154">
        <v>300</v>
      </c>
      <c r="G241" s="156">
        <v>7000</v>
      </c>
      <c r="I241" s="140"/>
    </row>
    <row r="242" spans="1:9" ht="12.75">
      <c r="A242" s="146" t="s">
        <v>603</v>
      </c>
      <c r="B242" s="147"/>
      <c r="C242" s="147" t="s">
        <v>655</v>
      </c>
      <c r="D242" s="148" t="s">
        <v>214</v>
      </c>
      <c r="E242" s="147" t="s">
        <v>263</v>
      </c>
      <c r="F242" s="147" t="s">
        <v>263</v>
      </c>
      <c r="G242" s="149">
        <f>G243</f>
        <v>27794150</v>
      </c>
      <c r="I242" s="140"/>
    </row>
    <row r="243" spans="1:9" ht="12.75">
      <c r="A243" s="150" t="s">
        <v>667</v>
      </c>
      <c r="B243" s="151"/>
      <c r="C243" s="151" t="s">
        <v>655</v>
      </c>
      <c r="D243" s="151" t="s">
        <v>643</v>
      </c>
      <c r="E243" s="151" t="s">
        <v>263</v>
      </c>
      <c r="F243" s="151" t="s">
        <v>263</v>
      </c>
      <c r="G243" s="152">
        <f>G244</f>
        <v>27794150</v>
      </c>
      <c r="I243" s="140"/>
    </row>
    <row r="244" spans="1:9" ht="25.5">
      <c r="A244" s="161" t="s">
        <v>136</v>
      </c>
      <c r="B244" s="154"/>
      <c r="C244" s="154" t="s">
        <v>655</v>
      </c>
      <c r="D244" s="154" t="s">
        <v>643</v>
      </c>
      <c r="E244" s="159" t="s">
        <v>324</v>
      </c>
      <c r="F244" s="154" t="s">
        <v>263</v>
      </c>
      <c r="G244" s="152">
        <f>G245+G251</f>
        <v>27794150</v>
      </c>
      <c r="I244" s="140"/>
    </row>
    <row r="245" spans="1:9" ht="25.5">
      <c r="A245" s="172" t="s">
        <v>586</v>
      </c>
      <c r="B245" s="154"/>
      <c r="C245" s="154" t="s">
        <v>655</v>
      </c>
      <c r="D245" s="154" t="s">
        <v>643</v>
      </c>
      <c r="E245" s="159" t="s">
        <v>325</v>
      </c>
      <c r="F245" s="155" t="s">
        <v>263</v>
      </c>
      <c r="G245" s="152">
        <f>G246</f>
        <v>4287683</v>
      </c>
      <c r="I245" s="140"/>
    </row>
    <row r="246" spans="1:9" ht="25.5">
      <c r="A246" s="25" t="s">
        <v>301</v>
      </c>
      <c r="B246" s="154"/>
      <c r="C246" s="154" t="s">
        <v>655</v>
      </c>
      <c r="D246" s="154" t="s">
        <v>643</v>
      </c>
      <c r="E246" s="159" t="s">
        <v>326</v>
      </c>
      <c r="F246" s="155"/>
      <c r="G246" s="152">
        <f>G247</f>
        <v>4287683</v>
      </c>
      <c r="I246" s="140"/>
    </row>
    <row r="247" spans="1:9" ht="25.5">
      <c r="A247" s="155" t="s">
        <v>615</v>
      </c>
      <c r="B247" s="154"/>
      <c r="C247" s="154" t="s">
        <v>655</v>
      </c>
      <c r="D247" s="154" t="s">
        <v>643</v>
      </c>
      <c r="E247" s="159" t="s">
        <v>327</v>
      </c>
      <c r="F247" s="154" t="s">
        <v>263</v>
      </c>
      <c r="G247" s="152">
        <f>SUM(G248:G250)</f>
        <v>4287683</v>
      </c>
      <c r="I247" s="140"/>
    </row>
    <row r="248" spans="1:9" ht="63.75">
      <c r="A248" s="153" t="s">
        <v>268</v>
      </c>
      <c r="B248" s="154"/>
      <c r="C248" s="154" t="s">
        <v>655</v>
      </c>
      <c r="D248" s="154" t="s">
        <v>643</v>
      </c>
      <c r="E248" s="159" t="s">
        <v>327</v>
      </c>
      <c r="F248" s="154">
        <v>100</v>
      </c>
      <c r="G248" s="156">
        <v>3957934</v>
      </c>
      <c r="I248" s="140"/>
    </row>
    <row r="249" spans="1:9" ht="25.5">
      <c r="A249" s="153" t="s">
        <v>184</v>
      </c>
      <c r="B249" s="154"/>
      <c r="C249" s="154" t="s">
        <v>655</v>
      </c>
      <c r="D249" s="154" t="s">
        <v>643</v>
      </c>
      <c r="E249" s="159" t="s">
        <v>327</v>
      </c>
      <c r="F249" s="154">
        <v>200</v>
      </c>
      <c r="G249" s="156">
        <v>295793</v>
      </c>
      <c r="I249" s="140"/>
    </row>
    <row r="250" spans="1:9" ht="12.75">
      <c r="A250" s="153" t="s">
        <v>253</v>
      </c>
      <c r="B250" s="154"/>
      <c r="C250" s="154" t="s">
        <v>655</v>
      </c>
      <c r="D250" s="154" t="s">
        <v>643</v>
      </c>
      <c r="E250" s="159" t="s">
        <v>327</v>
      </c>
      <c r="F250" s="154">
        <v>800</v>
      </c>
      <c r="G250" s="156">
        <v>33956</v>
      </c>
      <c r="I250" s="140"/>
    </row>
    <row r="251" spans="1:9" ht="25.5">
      <c r="A251" s="162" t="s">
        <v>587</v>
      </c>
      <c r="B251" s="154"/>
      <c r="C251" s="154" t="s">
        <v>655</v>
      </c>
      <c r="D251" s="154" t="s">
        <v>643</v>
      </c>
      <c r="E251" s="159" t="s">
        <v>328</v>
      </c>
      <c r="F251" s="155"/>
      <c r="G251" s="152">
        <f>G252</f>
        <v>23506467</v>
      </c>
      <c r="I251" s="140"/>
    </row>
    <row r="252" spans="1:9" ht="51">
      <c r="A252" s="25" t="s">
        <v>47</v>
      </c>
      <c r="B252" s="154"/>
      <c r="C252" s="154" t="s">
        <v>655</v>
      </c>
      <c r="D252" s="154" t="s">
        <v>643</v>
      </c>
      <c r="E252" s="159" t="s">
        <v>329</v>
      </c>
      <c r="F252" s="155"/>
      <c r="G252" s="152">
        <f>G253+G256+G258+G260</f>
        <v>23506467</v>
      </c>
      <c r="I252" s="140"/>
    </row>
    <row r="253" spans="1:9" ht="25.5">
      <c r="A253" s="155" t="s">
        <v>615</v>
      </c>
      <c r="B253" s="154"/>
      <c r="C253" s="154" t="s">
        <v>655</v>
      </c>
      <c r="D253" s="154" t="s">
        <v>643</v>
      </c>
      <c r="E253" s="159" t="s">
        <v>330</v>
      </c>
      <c r="F253" s="155"/>
      <c r="G253" s="152">
        <f>G254</f>
        <v>17371017</v>
      </c>
      <c r="I253" s="140"/>
    </row>
    <row r="254" spans="1:9" ht="38.25">
      <c r="A254" s="153" t="s">
        <v>266</v>
      </c>
      <c r="B254" s="154"/>
      <c r="C254" s="154" t="s">
        <v>655</v>
      </c>
      <c r="D254" s="154" t="s">
        <v>643</v>
      </c>
      <c r="E254" s="159" t="s">
        <v>330</v>
      </c>
      <c r="F254" s="155">
        <v>600</v>
      </c>
      <c r="G254" s="156">
        <v>17371017</v>
      </c>
      <c r="I254" s="140"/>
    </row>
    <row r="255" spans="1:9" ht="25.5">
      <c r="A255" s="109" t="s">
        <v>440</v>
      </c>
      <c r="B255" s="154"/>
      <c r="C255" s="154" t="s">
        <v>655</v>
      </c>
      <c r="D255" s="154" t="s">
        <v>643</v>
      </c>
      <c r="E255" s="159" t="s">
        <v>439</v>
      </c>
      <c r="F255" s="155"/>
      <c r="G255" s="156">
        <f>G256</f>
        <v>5095842</v>
      </c>
      <c r="I255" s="140"/>
    </row>
    <row r="256" spans="1:9" ht="24.75" customHeight="1">
      <c r="A256" s="153" t="s">
        <v>266</v>
      </c>
      <c r="B256" s="154"/>
      <c r="C256" s="154" t="s">
        <v>655</v>
      </c>
      <c r="D256" s="154" t="s">
        <v>643</v>
      </c>
      <c r="E256" s="159" t="s">
        <v>439</v>
      </c>
      <c r="F256" s="155">
        <v>600</v>
      </c>
      <c r="G256" s="156">
        <v>5095842</v>
      </c>
      <c r="I256" s="140"/>
    </row>
    <row r="257" spans="1:9" ht="25.5">
      <c r="A257" s="109" t="s">
        <v>456</v>
      </c>
      <c r="B257" s="154"/>
      <c r="C257" s="154" t="s">
        <v>655</v>
      </c>
      <c r="D257" s="154" t="s">
        <v>643</v>
      </c>
      <c r="E257" s="159" t="s">
        <v>457</v>
      </c>
      <c r="F257" s="155"/>
      <c r="G257" s="156">
        <v>236408</v>
      </c>
      <c r="I257" s="140"/>
    </row>
    <row r="258" spans="1:9" ht="38.25">
      <c r="A258" s="153" t="s">
        <v>266</v>
      </c>
      <c r="B258" s="154"/>
      <c r="C258" s="154" t="s">
        <v>655</v>
      </c>
      <c r="D258" s="154" t="s">
        <v>643</v>
      </c>
      <c r="E258" s="159" t="s">
        <v>457</v>
      </c>
      <c r="F258" s="155">
        <v>600</v>
      </c>
      <c r="G258" s="156">
        <v>236408</v>
      </c>
      <c r="I258" s="140"/>
    </row>
    <row r="259" spans="1:9" ht="24">
      <c r="A259" s="31" t="s">
        <v>299</v>
      </c>
      <c r="B259" s="154"/>
      <c r="C259" s="182" t="s">
        <v>655</v>
      </c>
      <c r="D259" s="154" t="s">
        <v>643</v>
      </c>
      <c r="E259" s="159" t="s">
        <v>230</v>
      </c>
      <c r="F259" s="155"/>
      <c r="G259" s="156">
        <v>803200</v>
      </c>
      <c r="I259" s="140"/>
    </row>
    <row r="260" spans="1:9" ht="25.5">
      <c r="A260" s="165" t="s">
        <v>267</v>
      </c>
      <c r="B260" s="154"/>
      <c r="C260" s="188" t="s">
        <v>655</v>
      </c>
      <c r="D260" s="154" t="s">
        <v>643</v>
      </c>
      <c r="E260" s="167" t="s">
        <v>230</v>
      </c>
      <c r="F260" s="189">
        <v>200</v>
      </c>
      <c r="G260" s="156">
        <v>803200</v>
      </c>
      <c r="I260" s="140"/>
    </row>
    <row r="261" spans="1:9" ht="12.75">
      <c r="A261" s="190" t="s">
        <v>164</v>
      </c>
      <c r="B261" s="191"/>
      <c r="C261" s="191" t="s">
        <v>677</v>
      </c>
      <c r="D261" s="191" t="s">
        <v>214</v>
      </c>
      <c r="E261" s="192"/>
      <c r="F261" s="193"/>
      <c r="G261" s="149">
        <f>G262</f>
        <v>986911</v>
      </c>
      <c r="I261" s="140"/>
    </row>
    <row r="262" spans="1:9" ht="12.75">
      <c r="A262" s="169" t="s">
        <v>165</v>
      </c>
      <c r="B262" s="186"/>
      <c r="C262" s="186" t="s">
        <v>677</v>
      </c>
      <c r="D262" s="186" t="s">
        <v>60</v>
      </c>
      <c r="E262" s="175"/>
      <c r="F262" s="187"/>
      <c r="G262" s="184">
        <f>G263</f>
        <v>986911</v>
      </c>
      <c r="I262" s="140"/>
    </row>
    <row r="263" spans="1:9" ht="25.5">
      <c r="A263" s="161" t="s">
        <v>39</v>
      </c>
      <c r="B263" s="182"/>
      <c r="C263" s="182" t="s">
        <v>677</v>
      </c>
      <c r="D263" s="182" t="s">
        <v>60</v>
      </c>
      <c r="E263" s="159" t="s">
        <v>135</v>
      </c>
      <c r="F263" s="155"/>
      <c r="G263" s="152">
        <f>G264</f>
        <v>986911</v>
      </c>
      <c r="I263" s="140"/>
    </row>
    <row r="264" spans="1:9" ht="25.5">
      <c r="A264" s="162" t="s">
        <v>40</v>
      </c>
      <c r="B264" s="182"/>
      <c r="C264" s="182" t="s">
        <v>677</v>
      </c>
      <c r="D264" s="182" t="s">
        <v>60</v>
      </c>
      <c r="E264" s="163" t="s">
        <v>137</v>
      </c>
      <c r="F264" s="155"/>
      <c r="G264" s="152">
        <f>G265</f>
        <v>986911</v>
      </c>
      <c r="I264" s="140"/>
    </row>
    <row r="265" spans="1:9" ht="38.25">
      <c r="A265" s="36" t="s">
        <v>395</v>
      </c>
      <c r="B265" s="182"/>
      <c r="C265" s="182" t="s">
        <v>677</v>
      </c>
      <c r="D265" s="182" t="s">
        <v>60</v>
      </c>
      <c r="E265" s="159" t="s">
        <v>166</v>
      </c>
      <c r="F265" s="155"/>
      <c r="G265" s="152">
        <f>G266</f>
        <v>986911</v>
      </c>
      <c r="I265" s="140"/>
    </row>
    <row r="266" spans="1:9" ht="25.5">
      <c r="A266" s="165" t="s">
        <v>267</v>
      </c>
      <c r="B266" s="188"/>
      <c r="C266" s="188" t="s">
        <v>677</v>
      </c>
      <c r="D266" s="188" t="s">
        <v>60</v>
      </c>
      <c r="E266" s="167" t="s">
        <v>166</v>
      </c>
      <c r="F266" s="189">
        <v>200</v>
      </c>
      <c r="G266" s="168">
        <v>986911</v>
      </c>
      <c r="I266" s="140"/>
    </row>
    <row r="267" spans="1:9" ht="12.75">
      <c r="A267" s="146" t="s">
        <v>668</v>
      </c>
      <c r="B267" s="147"/>
      <c r="C267" s="147" t="s">
        <v>656</v>
      </c>
      <c r="D267" s="148" t="s">
        <v>214</v>
      </c>
      <c r="E267" s="147" t="s">
        <v>263</v>
      </c>
      <c r="F267" s="147" t="s">
        <v>263</v>
      </c>
      <c r="G267" s="183">
        <f>G268+G274+G280</f>
        <v>4241369.87</v>
      </c>
      <c r="I267" s="140"/>
    </row>
    <row r="268" spans="1:9" ht="12.75">
      <c r="A268" s="155" t="s">
        <v>375</v>
      </c>
      <c r="B268" s="154"/>
      <c r="C268" s="154">
        <v>10</v>
      </c>
      <c r="D268" s="182" t="s">
        <v>643</v>
      </c>
      <c r="E268" s="154"/>
      <c r="F268" s="154"/>
      <c r="G268" s="152">
        <f>G269</f>
        <v>10000</v>
      </c>
      <c r="H268" s="194"/>
      <c r="I268" s="140"/>
    </row>
    <row r="269" spans="1:9" ht="25.5">
      <c r="A269" s="161" t="s">
        <v>379</v>
      </c>
      <c r="B269" s="181"/>
      <c r="C269" s="154">
        <v>10</v>
      </c>
      <c r="D269" s="182" t="s">
        <v>643</v>
      </c>
      <c r="E269" s="159" t="s">
        <v>123</v>
      </c>
      <c r="F269" s="181"/>
      <c r="G269" s="152">
        <f>G270</f>
        <v>10000</v>
      </c>
      <c r="I269" s="140"/>
    </row>
    <row r="270" spans="1:9" ht="51">
      <c r="A270" s="162" t="s">
        <v>380</v>
      </c>
      <c r="B270" s="181"/>
      <c r="C270" s="154">
        <v>10</v>
      </c>
      <c r="D270" s="182" t="s">
        <v>643</v>
      </c>
      <c r="E270" s="159" t="s">
        <v>344</v>
      </c>
      <c r="F270" s="181"/>
      <c r="G270" s="152">
        <f>G271</f>
        <v>10000</v>
      </c>
      <c r="I270" s="140"/>
    </row>
    <row r="271" spans="1:9" ht="25.5">
      <c r="A271" s="25" t="s">
        <v>454</v>
      </c>
      <c r="B271" s="181"/>
      <c r="C271" s="154">
        <v>10</v>
      </c>
      <c r="D271" s="182" t="s">
        <v>643</v>
      </c>
      <c r="E271" s="159" t="s">
        <v>376</v>
      </c>
      <c r="F271" s="181"/>
      <c r="G271" s="152">
        <f>G272</f>
        <v>10000</v>
      </c>
      <c r="I271" s="140"/>
    </row>
    <row r="272" spans="1:9" ht="25.5">
      <c r="A272" s="25" t="s">
        <v>378</v>
      </c>
      <c r="B272" s="181"/>
      <c r="C272" s="154">
        <v>10</v>
      </c>
      <c r="D272" s="182" t="s">
        <v>643</v>
      </c>
      <c r="E272" s="159" t="s">
        <v>377</v>
      </c>
      <c r="F272" s="181"/>
      <c r="G272" s="152">
        <f>G273</f>
        <v>10000</v>
      </c>
      <c r="I272" s="140"/>
    </row>
    <row r="273" spans="1:9" ht="25.5">
      <c r="A273" s="153" t="s">
        <v>257</v>
      </c>
      <c r="B273" s="181"/>
      <c r="C273" s="154">
        <v>10</v>
      </c>
      <c r="D273" s="182" t="s">
        <v>643</v>
      </c>
      <c r="E273" s="159" t="s">
        <v>377</v>
      </c>
      <c r="F273" s="154">
        <v>300</v>
      </c>
      <c r="G273" s="156">
        <v>10000</v>
      </c>
      <c r="I273" s="140"/>
    </row>
    <row r="274" spans="1:9" ht="12.75">
      <c r="A274" s="153" t="s">
        <v>669</v>
      </c>
      <c r="B274" s="181"/>
      <c r="C274" s="154">
        <v>10</v>
      </c>
      <c r="D274" s="154" t="s">
        <v>676</v>
      </c>
      <c r="E274" s="159"/>
      <c r="F274" s="154"/>
      <c r="G274" s="152">
        <f>G275</f>
        <v>20000</v>
      </c>
      <c r="I274" s="140"/>
    </row>
    <row r="275" spans="1:9" ht="38.25">
      <c r="A275" s="161" t="s">
        <v>229</v>
      </c>
      <c r="B275" s="181"/>
      <c r="C275" s="154">
        <v>10</v>
      </c>
      <c r="D275" s="154" t="s">
        <v>676</v>
      </c>
      <c r="E275" s="159" t="s">
        <v>659</v>
      </c>
      <c r="F275" s="154"/>
      <c r="G275" s="152">
        <f>G276</f>
        <v>20000</v>
      </c>
      <c r="I275" s="140"/>
    </row>
    <row r="276" spans="1:9" ht="51">
      <c r="A276" s="162" t="s">
        <v>228</v>
      </c>
      <c r="B276" s="181"/>
      <c r="C276" s="154">
        <v>10</v>
      </c>
      <c r="D276" s="154" t="s">
        <v>676</v>
      </c>
      <c r="E276" s="163" t="s">
        <v>660</v>
      </c>
      <c r="F276" s="154"/>
      <c r="G276" s="152">
        <f>G277</f>
        <v>20000</v>
      </c>
      <c r="I276" s="140"/>
    </row>
    <row r="277" spans="1:9" ht="25.5">
      <c r="A277" s="34" t="s">
        <v>211</v>
      </c>
      <c r="B277" s="181"/>
      <c r="C277" s="154">
        <v>10</v>
      </c>
      <c r="D277" s="154" t="s">
        <v>676</v>
      </c>
      <c r="E277" s="163" t="s">
        <v>313</v>
      </c>
      <c r="F277" s="154"/>
      <c r="G277" s="152">
        <f>G278</f>
        <v>20000</v>
      </c>
      <c r="I277" s="140"/>
    </row>
    <row r="278" spans="1:9" ht="12.75">
      <c r="A278" s="31" t="s">
        <v>234</v>
      </c>
      <c r="B278" s="181"/>
      <c r="C278" s="154">
        <v>10</v>
      </c>
      <c r="D278" s="154" t="s">
        <v>676</v>
      </c>
      <c r="E278" s="159" t="s">
        <v>233</v>
      </c>
      <c r="F278" s="154"/>
      <c r="G278" s="152">
        <f>G279</f>
        <v>20000</v>
      </c>
      <c r="I278" s="140"/>
    </row>
    <row r="279" spans="1:9" ht="25.5">
      <c r="A279" s="153" t="s">
        <v>257</v>
      </c>
      <c r="B279" s="181"/>
      <c r="C279" s="154">
        <v>10</v>
      </c>
      <c r="D279" s="154" t="s">
        <v>676</v>
      </c>
      <c r="E279" s="159" t="s">
        <v>233</v>
      </c>
      <c r="F279" s="154">
        <v>300</v>
      </c>
      <c r="G279" s="156">
        <v>20000</v>
      </c>
      <c r="I279" s="140"/>
    </row>
    <row r="280" spans="1:9" ht="12.75">
      <c r="A280" s="150" t="s">
        <v>670</v>
      </c>
      <c r="B280" s="151"/>
      <c r="C280" s="151" t="s">
        <v>656</v>
      </c>
      <c r="D280" s="151" t="s">
        <v>646</v>
      </c>
      <c r="E280" s="151" t="s">
        <v>263</v>
      </c>
      <c r="F280" s="151" t="s">
        <v>263</v>
      </c>
      <c r="G280" s="152">
        <f>G281+G297</f>
        <v>4211369.87</v>
      </c>
      <c r="I280" s="140"/>
    </row>
    <row r="281" spans="1:9" ht="38.25">
      <c r="A281" s="161" t="s">
        <v>557</v>
      </c>
      <c r="B281" s="154"/>
      <c r="C281" s="154">
        <v>10</v>
      </c>
      <c r="D281" s="154" t="s">
        <v>646</v>
      </c>
      <c r="E281" s="159" t="s">
        <v>659</v>
      </c>
      <c r="F281" s="154"/>
      <c r="G281" s="152">
        <f>G282+G286</f>
        <v>4210569.87</v>
      </c>
      <c r="I281" s="140"/>
    </row>
    <row r="282" spans="1:9" ht="51">
      <c r="A282" s="162" t="s">
        <v>125</v>
      </c>
      <c r="B282" s="154"/>
      <c r="C282" s="154">
        <v>10</v>
      </c>
      <c r="D282" s="154" t="s">
        <v>646</v>
      </c>
      <c r="E282" s="159" t="s">
        <v>318</v>
      </c>
      <c r="F282" s="154"/>
      <c r="G282" s="152">
        <v>600</v>
      </c>
      <c r="I282" s="140"/>
    </row>
    <row r="283" spans="1:9" ht="38.25">
      <c r="A283" s="27" t="s">
        <v>335</v>
      </c>
      <c r="B283" s="154"/>
      <c r="C283" s="154">
        <v>10</v>
      </c>
      <c r="D283" s="154" t="s">
        <v>646</v>
      </c>
      <c r="E283" s="159" t="s">
        <v>322</v>
      </c>
      <c r="F283" s="154"/>
      <c r="G283" s="152">
        <v>600</v>
      </c>
      <c r="I283" s="140"/>
    </row>
    <row r="284" spans="1:9" ht="25.5">
      <c r="A284" s="155" t="s">
        <v>283</v>
      </c>
      <c r="B284" s="154"/>
      <c r="C284" s="154">
        <v>10</v>
      </c>
      <c r="D284" s="154" t="s">
        <v>646</v>
      </c>
      <c r="E284" s="159" t="s">
        <v>323</v>
      </c>
      <c r="F284" s="154" t="s">
        <v>263</v>
      </c>
      <c r="G284" s="152">
        <v>600</v>
      </c>
      <c r="I284" s="140"/>
    </row>
    <row r="285" spans="1:9" ht="63.75">
      <c r="A285" s="153" t="s">
        <v>268</v>
      </c>
      <c r="B285" s="154"/>
      <c r="C285" s="154">
        <v>10</v>
      </c>
      <c r="D285" s="154" t="s">
        <v>646</v>
      </c>
      <c r="E285" s="159" t="s">
        <v>323</v>
      </c>
      <c r="F285" s="154" t="s">
        <v>592</v>
      </c>
      <c r="G285" s="152">
        <v>600</v>
      </c>
      <c r="I285" s="140"/>
    </row>
    <row r="286" spans="1:9" ht="51">
      <c r="A286" s="162" t="s">
        <v>479</v>
      </c>
      <c r="B286" s="154"/>
      <c r="C286" s="154">
        <v>10</v>
      </c>
      <c r="D286" s="154" t="s">
        <v>646</v>
      </c>
      <c r="E286" s="163" t="s">
        <v>660</v>
      </c>
      <c r="F286" s="154"/>
      <c r="G286" s="152">
        <f>G287+G290+G294</f>
        <v>4209969.87</v>
      </c>
      <c r="I286" s="140"/>
    </row>
    <row r="287" spans="1:9" ht="25.5">
      <c r="A287" s="24" t="s">
        <v>208</v>
      </c>
      <c r="B287" s="154"/>
      <c r="C287" s="154">
        <v>10</v>
      </c>
      <c r="D287" s="154" t="s">
        <v>646</v>
      </c>
      <c r="E287" s="159" t="s">
        <v>661</v>
      </c>
      <c r="F287" s="154"/>
      <c r="G287" s="152">
        <v>1564</v>
      </c>
      <c r="I287" s="140"/>
    </row>
    <row r="288" spans="1:9" ht="25.5">
      <c r="A288" s="155" t="s">
        <v>283</v>
      </c>
      <c r="B288" s="154"/>
      <c r="C288" s="154">
        <v>10</v>
      </c>
      <c r="D288" s="154" t="s">
        <v>646</v>
      </c>
      <c r="E288" s="159" t="s">
        <v>309</v>
      </c>
      <c r="F288" s="154"/>
      <c r="G288" s="152">
        <v>1564</v>
      </c>
      <c r="I288" s="140"/>
    </row>
    <row r="289" spans="1:9" ht="63.75">
      <c r="A289" s="153" t="s">
        <v>268</v>
      </c>
      <c r="B289" s="154"/>
      <c r="C289" s="154">
        <v>10</v>
      </c>
      <c r="D289" s="154" t="s">
        <v>646</v>
      </c>
      <c r="E289" s="159" t="s">
        <v>309</v>
      </c>
      <c r="F289" s="154">
        <v>100</v>
      </c>
      <c r="G289" s="152">
        <v>1564</v>
      </c>
      <c r="I289" s="140"/>
    </row>
    <row r="290" spans="1:9" ht="25.5">
      <c r="A290" s="26" t="s">
        <v>209</v>
      </c>
      <c r="B290" s="154"/>
      <c r="C290" s="154">
        <v>10</v>
      </c>
      <c r="D290" s="154" t="s">
        <v>646</v>
      </c>
      <c r="E290" s="163" t="s">
        <v>358</v>
      </c>
      <c r="F290" s="154"/>
      <c r="G290" s="152">
        <f>G291</f>
        <v>4207872</v>
      </c>
      <c r="I290" s="140"/>
    </row>
    <row r="291" spans="1:9" ht="12.75">
      <c r="A291" s="153" t="s">
        <v>332</v>
      </c>
      <c r="B291" s="154"/>
      <c r="C291" s="154">
        <v>10</v>
      </c>
      <c r="D291" s="154" t="s">
        <v>646</v>
      </c>
      <c r="E291" s="159" t="s">
        <v>502</v>
      </c>
      <c r="F291" s="154"/>
      <c r="G291" s="152">
        <f>SUM(G292:G293)</f>
        <v>4207872</v>
      </c>
      <c r="I291" s="140"/>
    </row>
    <row r="292" spans="1:9" ht="25.5">
      <c r="A292" s="153" t="s">
        <v>184</v>
      </c>
      <c r="B292" s="154"/>
      <c r="C292" s="154">
        <v>10</v>
      </c>
      <c r="D292" s="154" t="s">
        <v>646</v>
      </c>
      <c r="E292" s="159" t="s">
        <v>502</v>
      </c>
      <c r="F292" s="154">
        <v>200</v>
      </c>
      <c r="G292" s="156">
        <v>16730</v>
      </c>
      <c r="I292" s="140"/>
    </row>
    <row r="293" spans="1:9" ht="25.5">
      <c r="A293" s="165" t="s">
        <v>257</v>
      </c>
      <c r="B293" s="166"/>
      <c r="C293" s="166">
        <v>10</v>
      </c>
      <c r="D293" s="166" t="s">
        <v>646</v>
      </c>
      <c r="E293" s="167" t="s">
        <v>502</v>
      </c>
      <c r="F293" s="166">
        <v>300</v>
      </c>
      <c r="G293" s="156">
        <v>4191142</v>
      </c>
      <c r="I293" s="140"/>
    </row>
    <row r="294" spans="1:9" ht="25.5">
      <c r="A294" s="24" t="s">
        <v>210</v>
      </c>
      <c r="B294" s="143"/>
      <c r="C294" s="154">
        <v>10</v>
      </c>
      <c r="D294" s="154" t="s">
        <v>646</v>
      </c>
      <c r="E294" s="175" t="s">
        <v>310</v>
      </c>
      <c r="F294" s="154"/>
      <c r="G294" s="156">
        <v>533.87</v>
      </c>
      <c r="I294" s="140"/>
    </row>
    <row r="295" spans="1:9" ht="25.5">
      <c r="A295" s="155" t="s">
        <v>283</v>
      </c>
      <c r="B295" s="143"/>
      <c r="C295" s="154">
        <v>10</v>
      </c>
      <c r="D295" s="154" t="s">
        <v>646</v>
      </c>
      <c r="E295" s="159" t="s">
        <v>99</v>
      </c>
      <c r="F295" s="15"/>
      <c r="G295" s="156">
        <v>533.87</v>
      </c>
      <c r="I295" s="140"/>
    </row>
    <row r="296" spans="1:9" ht="27.75" customHeight="1">
      <c r="A296" s="35" t="s">
        <v>266</v>
      </c>
      <c r="B296" s="143"/>
      <c r="C296" s="154">
        <v>10</v>
      </c>
      <c r="D296" s="154" t="s">
        <v>646</v>
      </c>
      <c r="E296" s="159" t="s">
        <v>99</v>
      </c>
      <c r="F296" s="15">
        <v>600</v>
      </c>
      <c r="G296" s="156">
        <v>533.87</v>
      </c>
      <c r="I296" s="140"/>
    </row>
    <row r="297" spans="1:9" ht="63.75">
      <c r="A297" s="161" t="s">
        <v>556</v>
      </c>
      <c r="B297" s="143"/>
      <c r="C297" s="154">
        <v>10</v>
      </c>
      <c r="D297" s="154" t="s">
        <v>646</v>
      </c>
      <c r="E297" s="159" t="s">
        <v>140</v>
      </c>
      <c r="F297" s="154" t="s">
        <v>263</v>
      </c>
      <c r="G297" s="156">
        <v>800</v>
      </c>
      <c r="I297" s="140"/>
    </row>
    <row r="298" spans="1:9" ht="89.25">
      <c r="A298" s="32" t="s">
        <v>543</v>
      </c>
      <c r="B298" s="143"/>
      <c r="C298" s="154">
        <v>10</v>
      </c>
      <c r="D298" s="154" t="s">
        <v>646</v>
      </c>
      <c r="E298" s="159" t="s">
        <v>141</v>
      </c>
      <c r="F298" s="154"/>
      <c r="G298" s="156">
        <v>800</v>
      </c>
      <c r="I298" s="140"/>
    </row>
    <row r="299" spans="1:9" ht="76.5">
      <c r="A299" s="24" t="s">
        <v>518</v>
      </c>
      <c r="B299" s="143"/>
      <c r="C299" s="154">
        <v>10</v>
      </c>
      <c r="D299" s="154" t="s">
        <v>646</v>
      </c>
      <c r="E299" s="159" t="s">
        <v>146</v>
      </c>
      <c r="F299" s="154"/>
      <c r="G299" s="156">
        <v>800</v>
      </c>
      <c r="I299" s="140"/>
    </row>
    <row r="300" spans="1:9" ht="25.5">
      <c r="A300" s="155" t="s">
        <v>283</v>
      </c>
      <c r="B300" s="143"/>
      <c r="C300" s="154">
        <v>10</v>
      </c>
      <c r="D300" s="154" t="s">
        <v>646</v>
      </c>
      <c r="E300" s="159" t="s">
        <v>147</v>
      </c>
      <c r="F300" s="154" t="s">
        <v>263</v>
      </c>
      <c r="G300" s="156">
        <v>800</v>
      </c>
      <c r="I300" s="140"/>
    </row>
    <row r="301" spans="1:9" ht="63.75">
      <c r="A301" s="153" t="s">
        <v>268</v>
      </c>
      <c r="B301" s="143"/>
      <c r="C301" s="154">
        <v>10</v>
      </c>
      <c r="D301" s="154" t="s">
        <v>646</v>
      </c>
      <c r="E301" s="159" t="s">
        <v>147</v>
      </c>
      <c r="F301" s="154">
        <v>100</v>
      </c>
      <c r="G301" s="156">
        <v>800</v>
      </c>
      <c r="I301" s="140"/>
    </row>
    <row r="302" spans="1:9" ht="12.75">
      <c r="A302" s="146" t="s">
        <v>501</v>
      </c>
      <c r="B302" s="147"/>
      <c r="C302" s="147" t="s">
        <v>649</v>
      </c>
      <c r="D302" s="148" t="s">
        <v>214</v>
      </c>
      <c r="E302" s="147" t="s">
        <v>263</v>
      </c>
      <c r="F302" s="147" t="s">
        <v>263</v>
      </c>
      <c r="G302" s="195">
        <f aca="true" t="shared" si="0" ref="G302:G307">G303</f>
        <v>75000</v>
      </c>
      <c r="I302" s="140"/>
    </row>
    <row r="303" spans="1:9" ht="12.75">
      <c r="A303" s="150" t="s">
        <v>451</v>
      </c>
      <c r="B303" s="151"/>
      <c r="C303" s="151" t="s">
        <v>649</v>
      </c>
      <c r="D303" s="151" t="s">
        <v>645</v>
      </c>
      <c r="E303" s="151" t="s">
        <v>263</v>
      </c>
      <c r="F303" s="151" t="s">
        <v>263</v>
      </c>
      <c r="G303" s="152">
        <f t="shared" si="0"/>
        <v>75000</v>
      </c>
      <c r="I303" s="140"/>
    </row>
    <row r="304" spans="1:9" ht="63.75">
      <c r="A304" s="161" t="s">
        <v>450</v>
      </c>
      <c r="B304" s="154"/>
      <c r="C304" s="154" t="s">
        <v>649</v>
      </c>
      <c r="D304" s="154" t="s">
        <v>645</v>
      </c>
      <c r="E304" s="159" t="s">
        <v>449</v>
      </c>
      <c r="F304" s="157" t="s">
        <v>263</v>
      </c>
      <c r="G304" s="152">
        <f t="shared" si="0"/>
        <v>75000</v>
      </c>
      <c r="I304" s="140"/>
    </row>
    <row r="305" spans="1:9" ht="76.5">
      <c r="A305" s="162" t="s">
        <v>448</v>
      </c>
      <c r="B305" s="154"/>
      <c r="C305" s="154" t="s">
        <v>649</v>
      </c>
      <c r="D305" s="154" t="s">
        <v>645</v>
      </c>
      <c r="E305" s="159" t="s">
        <v>507</v>
      </c>
      <c r="F305" s="164" t="s">
        <v>263</v>
      </c>
      <c r="G305" s="152">
        <f t="shared" si="0"/>
        <v>75000</v>
      </c>
      <c r="I305" s="140"/>
    </row>
    <row r="306" spans="1:9" ht="63.75">
      <c r="A306" s="27" t="s">
        <v>506</v>
      </c>
      <c r="B306" s="154"/>
      <c r="C306" s="154" t="s">
        <v>649</v>
      </c>
      <c r="D306" s="154" t="s">
        <v>645</v>
      </c>
      <c r="E306" s="159" t="s">
        <v>505</v>
      </c>
      <c r="F306" s="164"/>
      <c r="G306" s="152">
        <f t="shared" si="0"/>
        <v>75000</v>
      </c>
      <c r="I306" s="140"/>
    </row>
    <row r="307" spans="1:9" ht="51">
      <c r="A307" s="27" t="s">
        <v>504</v>
      </c>
      <c r="B307" s="154"/>
      <c r="C307" s="154" t="s">
        <v>649</v>
      </c>
      <c r="D307" s="154" t="s">
        <v>645</v>
      </c>
      <c r="E307" s="159" t="s">
        <v>503</v>
      </c>
      <c r="F307" s="164"/>
      <c r="G307" s="152">
        <f t="shared" si="0"/>
        <v>75000</v>
      </c>
      <c r="I307" s="140"/>
    </row>
    <row r="308" spans="1:9" ht="25.5">
      <c r="A308" s="153" t="s">
        <v>184</v>
      </c>
      <c r="B308" s="154"/>
      <c r="C308" s="154" t="s">
        <v>649</v>
      </c>
      <c r="D308" s="154" t="s">
        <v>645</v>
      </c>
      <c r="E308" s="159" t="s">
        <v>503</v>
      </c>
      <c r="F308" s="155">
        <v>200</v>
      </c>
      <c r="G308" s="156">
        <v>75000</v>
      </c>
      <c r="I308" s="140"/>
    </row>
    <row r="309" spans="1:9" ht="25.5">
      <c r="A309" s="196" t="s">
        <v>215</v>
      </c>
      <c r="B309" s="148" t="s">
        <v>334</v>
      </c>
      <c r="C309" s="197"/>
      <c r="D309" s="197"/>
      <c r="E309" s="192"/>
      <c r="F309" s="198"/>
      <c r="G309" s="183">
        <f>G310+G329+G336+G342+G377</f>
        <v>22809972</v>
      </c>
      <c r="I309" s="140"/>
    </row>
    <row r="310" spans="1:9" ht="12.75">
      <c r="A310" s="146" t="s">
        <v>593</v>
      </c>
      <c r="B310" s="147"/>
      <c r="C310" s="147" t="s">
        <v>643</v>
      </c>
      <c r="D310" s="148" t="s">
        <v>214</v>
      </c>
      <c r="E310" s="147" t="s">
        <v>263</v>
      </c>
      <c r="F310" s="147" t="s">
        <v>263</v>
      </c>
      <c r="G310" s="183">
        <f>G311+G318</f>
        <v>4989033</v>
      </c>
      <c r="I310" s="140"/>
    </row>
    <row r="311" spans="1:9" ht="38.25">
      <c r="A311" s="150" t="s">
        <v>594</v>
      </c>
      <c r="B311" s="151"/>
      <c r="C311" s="151" t="s">
        <v>643</v>
      </c>
      <c r="D311" s="151" t="s">
        <v>647</v>
      </c>
      <c r="E311" s="151" t="s">
        <v>263</v>
      </c>
      <c r="F311" s="151" t="s">
        <v>263</v>
      </c>
      <c r="G311" s="152">
        <f>G312</f>
        <v>3976733</v>
      </c>
      <c r="I311" s="140"/>
    </row>
    <row r="312" spans="1:9" ht="25.5">
      <c r="A312" s="161" t="s">
        <v>388</v>
      </c>
      <c r="B312" s="154"/>
      <c r="C312" s="154" t="s">
        <v>643</v>
      </c>
      <c r="D312" s="154" t="s">
        <v>647</v>
      </c>
      <c r="E312" s="154" t="s">
        <v>529</v>
      </c>
      <c r="F312" s="154" t="s">
        <v>263</v>
      </c>
      <c r="G312" s="152">
        <f>G313</f>
        <v>3976733</v>
      </c>
      <c r="I312" s="140"/>
    </row>
    <row r="313" spans="1:9" ht="51">
      <c r="A313" s="162" t="s">
        <v>390</v>
      </c>
      <c r="B313" s="154"/>
      <c r="C313" s="154" t="s">
        <v>643</v>
      </c>
      <c r="D313" s="154" t="s">
        <v>647</v>
      </c>
      <c r="E313" s="154" t="s">
        <v>530</v>
      </c>
      <c r="F313" s="155" t="s">
        <v>263</v>
      </c>
      <c r="G313" s="152">
        <f>G314</f>
        <v>3976733</v>
      </c>
      <c r="I313" s="140"/>
    </row>
    <row r="314" spans="1:9" ht="38.25">
      <c r="A314" s="24" t="s">
        <v>414</v>
      </c>
      <c r="B314" s="154"/>
      <c r="C314" s="154" t="s">
        <v>643</v>
      </c>
      <c r="D314" s="154" t="s">
        <v>647</v>
      </c>
      <c r="E314" s="154" t="s">
        <v>321</v>
      </c>
      <c r="F314" s="155"/>
      <c r="G314" s="152">
        <f>G315</f>
        <v>3976733</v>
      </c>
      <c r="I314" s="140"/>
    </row>
    <row r="315" spans="1:9" ht="25.5">
      <c r="A315" s="155" t="s">
        <v>613</v>
      </c>
      <c r="B315" s="154"/>
      <c r="C315" s="154" t="s">
        <v>643</v>
      </c>
      <c r="D315" s="154" t="s">
        <v>647</v>
      </c>
      <c r="E315" s="154" t="s">
        <v>531</v>
      </c>
      <c r="F315" s="154" t="s">
        <v>263</v>
      </c>
      <c r="G315" s="152">
        <f>SUM(G316:G317)</f>
        <v>3976733</v>
      </c>
      <c r="I315" s="140"/>
    </row>
    <row r="316" spans="1:9" ht="63.75">
      <c r="A316" s="153" t="s">
        <v>268</v>
      </c>
      <c r="B316" s="154"/>
      <c r="C316" s="154" t="s">
        <v>643</v>
      </c>
      <c r="D316" s="154" t="s">
        <v>647</v>
      </c>
      <c r="E316" s="154" t="s">
        <v>531</v>
      </c>
      <c r="F316" s="154">
        <v>100</v>
      </c>
      <c r="G316" s="156">
        <v>3765303</v>
      </c>
      <c r="I316" s="140"/>
    </row>
    <row r="317" spans="1:9" ht="25.5">
      <c r="A317" s="153" t="s">
        <v>184</v>
      </c>
      <c r="B317" s="154"/>
      <c r="C317" s="154" t="s">
        <v>643</v>
      </c>
      <c r="D317" s="154" t="s">
        <v>647</v>
      </c>
      <c r="E317" s="154" t="s">
        <v>531</v>
      </c>
      <c r="F317" s="154" t="s">
        <v>250</v>
      </c>
      <c r="G317" s="156">
        <v>211430</v>
      </c>
      <c r="I317" s="140"/>
    </row>
    <row r="318" spans="1:9" ht="12.75">
      <c r="A318" s="150" t="s">
        <v>173</v>
      </c>
      <c r="B318" s="151"/>
      <c r="C318" s="151" t="s">
        <v>643</v>
      </c>
      <c r="D318" s="151" t="s">
        <v>675</v>
      </c>
      <c r="E318" s="151" t="s">
        <v>263</v>
      </c>
      <c r="F318" s="151" t="s">
        <v>263</v>
      </c>
      <c r="G318" s="152">
        <f>G319</f>
        <v>1012300</v>
      </c>
      <c r="I318" s="140"/>
    </row>
    <row r="319" spans="1:9" ht="25.5">
      <c r="A319" s="161" t="s">
        <v>560</v>
      </c>
      <c r="B319" s="154"/>
      <c r="C319" s="154" t="s">
        <v>643</v>
      </c>
      <c r="D319" s="154" t="s">
        <v>675</v>
      </c>
      <c r="E319" s="154" t="s">
        <v>123</v>
      </c>
      <c r="F319" s="154" t="s">
        <v>263</v>
      </c>
      <c r="G319" s="152">
        <f>G320+G324</f>
        <v>1012300</v>
      </c>
      <c r="I319" s="140"/>
    </row>
    <row r="320" spans="1:9" ht="51">
      <c r="A320" s="162" t="s">
        <v>37</v>
      </c>
      <c r="B320" s="154"/>
      <c r="C320" s="154" t="s">
        <v>643</v>
      </c>
      <c r="D320" s="154" t="s">
        <v>675</v>
      </c>
      <c r="E320" s="163" t="s">
        <v>127</v>
      </c>
      <c r="F320" s="155" t="s">
        <v>263</v>
      </c>
      <c r="G320" s="152">
        <f>G321</f>
        <v>124300</v>
      </c>
      <c r="I320" s="140"/>
    </row>
    <row r="321" spans="1:9" ht="51">
      <c r="A321" s="29" t="s">
        <v>201</v>
      </c>
      <c r="B321" s="154"/>
      <c r="C321" s="154" t="s">
        <v>643</v>
      </c>
      <c r="D321" s="154" t="s">
        <v>675</v>
      </c>
      <c r="E321" s="163" t="s">
        <v>359</v>
      </c>
      <c r="F321" s="155"/>
      <c r="G321" s="152">
        <f>G322</f>
        <v>124300</v>
      </c>
      <c r="I321" s="140"/>
    </row>
    <row r="322" spans="1:9" ht="38.25">
      <c r="A322" s="155" t="s">
        <v>38</v>
      </c>
      <c r="B322" s="154"/>
      <c r="C322" s="154" t="s">
        <v>643</v>
      </c>
      <c r="D322" s="154" t="s">
        <v>675</v>
      </c>
      <c r="E322" s="159" t="s">
        <v>202</v>
      </c>
      <c r="F322" s="154" t="s">
        <v>263</v>
      </c>
      <c r="G322" s="152">
        <f>G323</f>
        <v>124300</v>
      </c>
      <c r="I322" s="140"/>
    </row>
    <row r="323" spans="1:9" ht="38.25">
      <c r="A323" s="153" t="s">
        <v>266</v>
      </c>
      <c r="B323" s="154"/>
      <c r="C323" s="154" t="s">
        <v>643</v>
      </c>
      <c r="D323" s="154" t="s">
        <v>675</v>
      </c>
      <c r="E323" s="159" t="s">
        <v>202</v>
      </c>
      <c r="F323" s="154" t="s">
        <v>255</v>
      </c>
      <c r="G323" s="156">
        <v>124300</v>
      </c>
      <c r="I323" s="140"/>
    </row>
    <row r="324" spans="1:9" ht="63.75">
      <c r="A324" s="162" t="s">
        <v>389</v>
      </c>
      <c r="B324" s="154"/>
      <c r="C324" s="154" t="s">
        <v>643</v>
      </c>
      <c r="D324" s="154" t="s">
        <v>675</v>
      </c>
      <c r="E324" s="154" t="s">
        <v>128</v>
      </c>
      <c r="F324" s="155" t="s">
        <v>263</v>
      </c>
      <c r="G324" s="152">
        <f>G325</f>
        <v>888000</v>
      </c>
      <c r="I324" s="140"/>
    </row>
    <row r="325" spans="1:9" ht="51">
      <c r="A325" s="153" t="s">
        <v>588</v>
      </c>
      <c r="B325" s="154"/>
      <c r="C325" s="154" t="s">
        <v>643</v>
      </c>
      <c r="D325" s="154" t="s">
        <v>675</v>
      </c>
      <c r="E325" s="154" t="s">
        <v>415</v>
      </c>
      <c r="F325" s="155"/>
      <c r="G325" s="152">
        <f>G326</f>
        <v>888000</v>
      </c>
      <c r="I325" s="140"/>
    </row>
    <row r="326" spans="1:9" ht="51">
      <c r="A326" s="155" t="s">
        <v>294</v>
      </c>
      <c r="B326" s="154"/>
      <c r="C326" s="154" t="s">
        <v>643</v>
      </c>
      <c r="D326" s="154" t="s">
        <v>675</v>
      </c>
      <c r="E326" s="159" t="s">
        <v>203</v>
      </c>
      <c r="F326" s="154"/>
      <c r="G326" s="152">
        <f>SUM(G327:G328)</f>
        <v>888000</v>
      </c>
      <c r="I326" s="140"/>
    </row>
    <row r="327" spans="1:9" ht="63.75">
      <c r="A327" s="153" t="s">
        <v>268</v>
      </c>
      <c r="B327" s="154"/>
      <c r="C327" s="154" t="s">
        <v>643</v>
      </c>
      <c r="D327" s="154" t="s">
        <v>675</v>
      </c>
      <c r="E327" s="159" t="s">
        <v>203</v>
      </c>
      <c r="F327" s="154">
        <v>100</v>
      </c>
      <c r="G327" s="156">
        <v>791834.16</v>
      </c>
      <c r="I327" s="140"/>
    </row>
    <row r="328" spans="1:9" ht="25.5">
      <c r="A328" s="153" t="s">
        <v>184</v>
      </c>
      <c r="B328" s="154"/>
      <c r="C328" s="154" t="s">
        <v>643</v>
      </c>
      <c r="D328" s="154" t="s">
        <v>675</v>
      </c>
      <c r="E328" s="159" t="s">
        <v>203</v>
      </c>
      <c r="F328" s="154" t="s">
        <v>250</v>
      </c>
      <c r="G328" s="156">
        <v>96165.84</v>
      </c>
      <c r="I328" s="140"/>
    </row>
    <row r="329" spans="1:9" ht="12.75">
      <c r="A329" s="146" t="s">
        <v>605</v>
      </c>
      <c r="B329" s="147"/>
      <c r="C329" s="147" t="s">
        <v>646</v>
      </c>
      <c r="D329" s="148" t="s">
        <v>214</v>
      </c>
      <c r="E329" s="147" t="s">
        <v>263</v>
      </c>
      <c r="F329" s="147" t="s">
        <v>263</v>
      </c>
      <c r="G329" s="149">
        <f>G330</f>
        <v>296000</v>
      </c>
      <c r="I329" s="140"/>
    </row>
    <row r="330" spans="1:9" ht="12.75">
      <c r="A330" s="150" t="s">
        <v>606</v>
      </c>
      <c r="B330" s="151"/>
      <c r="C330" s="151" t="s">
        <v>646</v>
      </c>
      <c r="D330" s="151" t="s">
        <v>643</v>
      </c>
      <c r="E330" s="151" t="s">
        <v>263</v>
      </c>
      <c r="F330" s="151" t="s">
        <v>263</v>
      </c>
      <c r="G330" s="152">
        <f>G331</f>
        <v>296000</v>
      </c>
      <c r="I330" s="140"/>
    </row>
    <row r="331" spans="1:9" ht="38.25">
      <c r="A331" s="161" t="s">
        <v>538</v>
      </c>
      <c r="B331" s="154"/>
      <c r="C331" s="154" t="s">
        <v>646</v>
      </c>
      <c r="D331" s="154" t="s">
        <v>643</v>
      </c>
      <c r="E331" s="159" t="s">
        <v>142</v>
      </c>
      <c r="F331" s="154" t="s">
        <v>263</v>
      </c>
      <c r="G331" s="152">
        <f>G332</f>
        <v>296000</v>
      </c>
      <c r="I331" s="140"/>
    </row>
    <row r="332" spans="1:9" ht="51">
      <c r="A332" s="162" t="s">
        <v>585</v>
      </c>
      <c r="B332" s="154"/>
      <c r="C332" s="154" t="s">
        <v>646</v>
      </c>
      <c r="D332" s="154" t="s">
        <v>643</v>
      </c>
      <c r="E332" s="159" t="s">
        <v>148</v>
      </c>
      <c r="F332" s="154"/>
      <c r="G332" s="152">
        <f>G333</f>
        <v>296000</v>
      </c>
      <c r="I332" s="140"/>
    </row>
    <row r="333" spans="1:9" ht="51">
      <c r="A333" s="24" t="s">
        <v>205</v>
      </c>
      <c r="B333" s="154"/>
      <c r="C333" s="154" t="s">
        <v>646</v>
      </c>
      <c r="D333" s="154" t="s">
        <v>643</v>
      </c>
      <c r="E333" s="159" t="s">
        <v>149</v>
      </c>
      <c r="F333" s="154"/>
      <c r="G333" s="152">
        <f>G334</f>
        <v>296000</v>
      </c>
      <c r="I333" s="140"/>
    </row>
    <row r="334" spans="1:9" ht="25.5">
      <c r="A334" s="155" t="s">
        <v>172</v>
      </c>
      <c r="B334" s="154"/>
      <c r="C334" s="154" t="s">
        <v>646</v>
      </c>
      <c r="D334" s="154" t="s">
        <v>643</v>
      </c>
      <c r="E334" s="159" t="s">
        <v>150</v>
      </c>
      <c r="F334" s="157" t="s">
        <v>263</v>
      </c>
      <c r="G334" s="152">
        <f>SUM(G335:G335)</f>
        <v>296000</v>
      </c>
      <c r="I334" s="140"/>
    </row>
    <row r="335" spans="1:9" ht="63.75">
      <c r="A335" s="153" t="s">
        <v>268</v>
      </c>
      <c r="B335" s="154"/>
      <c r="C335" s="154" t="s">
        <v>646</v>
      </c>
      <c r="D335" s="154" t="s">
        <v>643</v>
      </c>
      <c r="E335" s="159" t="s">
        <v>150</v>
      </c>
      <c r="F335" s="154">
        <v>100</v>
      </c>
      <c r="G335" s="156">
        <v>296000</v>
      </c>
      <c r="I335" s="140"/>
    </row>
    <row r="336" spans="1:9" ht="12.75">
      <c r="A336" s="146" t="s">
        <v>663</v>
      </c>
      <c r="B336" s="147"/>
      <c r="C336" s="147" t="s">
        <v>60</v>
      </c>
      <c r="D336" s="148" t="s">
        <v>214</v>
      </c>
      <c r="E336" s="147" t="s">
        <v>263</v>
      </c>
      <c r="F336" s="147" t="s">
        <v>263</v>
      </c>
      <c r="G336" s="183">
        <f>G337</f>
        <v>1315736</v>
      </c>
      <c r="I336" s="140"/>
    </row>
    <row r="337" spans="1:9" ht="12.75">
      <c r="A337" s="150" t="s">
        <v>666</v>
      </c>
      <c r="B337" s="151"/>
      <c r="C337" s="151" t="s">
        <v>60</v>
      </c>
      <c r="D337" s="151" t="s">
        <v>677</v>
      </c>
      <c r="E337" s="151" t="s">
        <v>263</v>
      </c>
      <c r="F337" s="151" t="s">
        <v>263</v>
      </c>
      <c r="G337" s="152">
        <f>G338</f>
        <v>1315736</v>
      </c>
      <c r="I337" s="140"/>
    </row>
    <row r="338" spans="1:9" ht="38.25">
      <c r="A338" s="155" t="s">
        <v>41</v>
      </c>
      <c r="B338" s="154"/>
      <c r="C338" s="154" t="s">
        <v>60</v>
      </c>
      <c r="D338" s="154" t="s">
        <v>677</v>
      </c>
      <c r="E338" s="159" t="s">
        <v>45</v>
      </c>
      <c r="F338" s="154"/>
      <c r="G338" s="152">
        <f>G339</f>
        <v>1315736</v>
      </c>
      <c r="I338" s="140"/>
    </row>
    <row r="339" spans="1:9" ht="25.5">
      <c r="A339" s="155" t="s">
        <v>613</v>
      </c>
      <c r="B339" s="154"/>
      <c r="C339" s="154" t="s">
        <v>60</v>
      </c>
      <c r="D339" s="154" t="s">
        <v>677</v>
      </c>
      <c r="E339" s="159" t="s">
        <v>46</v>
      </c>
      <c r="F339" s="154"/>
      <c r="G339" s="152">
        <f>SUM(G340:G341)</f>
        <v>1315736</v>
      </c>
      <c r="I339" s="140"/>
    </row>
    <row r="340" spans="1:9" ht="63.75">
      <c r="A340" s="153" t="s">
        <v>268</v>
      </c>
      <c r="B340" s="154"/>
      <c r="C340" s="154" t="s">
        <v>60</v>
      </c>
      <c r="D340" s="154" t="s">
        <v>677</v>
      </c>
      <c r="E340" s="159" t="s">
        <v>46</v>
      </c>
      <c r="F340" s="154" t="s">
        <v>592</v>
      </c>
      <c r="G340" s="156">
        <v>1103899</v>
      </c>
      <c r="I340" s="140"/>
    </row>
    <row r="341" spans="1:9" ht="25.5">
      <c r="A341" s="153" t="s">
        <v>184</v>
      </c>
      <c r="B341" s="154"/>
      <c r="C341" s="154" t="s">
        <v>60</v>
      </c>
      <c r="D341" s="154" t="s">
        <v>677</v>
      </c>
      <c r="E341" s="159" t="s">
        <v>46</v>
      </c>
      <c r="F341" s="154" t="s">
        <v>250</v>
      </c>
      <c r="G341" s="156">
        <v>211837</v>
      </c>
      <c r="I341" s="140"/>
    </row>
    <row r="342" spans="1:9" ht="12.75">
      <c r="A342" s="146" t="s">
        <v>668</v>
      </c>
      <c r="B342" s="147"/>
      <c r="C342" s="147" t="s">
        <v>656</v>
      </c>
      <c r="D342" s="148" t="s">
        <v>214</v>
      </c>
      <c r="E342" s="147" t="s">
        <v>263</v>
      </c>
      <c r="F342" s="147" t="s">
        <v>263</v>
      </c>
      <c r="G342" s="183">
        <f>G343+G361+G370</f>
        <v>16165203</v>
      </c>
      <c r="I342" s="140"/>
    </row>
    <row r="343" spans="1:9" ht="12.75">
      <c r="A343" s="150" t="s">
        <v>669</v>
      </c>
      <c r="B343" s="151"/>
      <c r="C343" s="151" t="s">
        <v>656</v>
      </c>
      <c r="D343" s="151" t="s">
        <v>676</v>
      </c>
      <c r="E343" s="151" t="s">
        <v>263</v>
      </c>
      <c r="F343" s="151" t="s">
        <v>263</v>
      </c>
      <c r="G343" s="152">
        <f>G344</f>
        <v>8533440</v>
      </c>
      <c r="I343" s="140"/>
    </row>
    <row r="344" spans="1:9" ht="25.5">
      <c r="A344" s="161" t="s">
        <v>379</v>
      </c>
      <c r="B344" s="154"/>
      <c r="C344" s="154" t="s">
        <v>656</v>
      </c>
      <c r="D344" s="154" t="s">
        <v>676</v>
      </c>
      <c r="E344" s="159" t="s">
        <v>123</v>
      </c>
      <c r="F344" s="154" t="s">
        <v>263</v>
      </c>
      <c r="G344" s="152">
        <f>G345</f>
        <v>8533440</v>
      </c>
      <c r="I344" s="140"/>
    </row>
    <row r="345" spans="1:9" ht="51">
      <c r="A345" s="162" t="s">
        <v>380</v>
      </c>
      <c r="B345" s="154"/>
      <c r="C345" s="154" t="s">
        <v>656</v>
      </c>
      <c r="D345" s="154" t="s">
        <v>676</v>
      </c>
      <c r="E345" s="163" t="s">
        <v>344</v>
      </c>
      <c r="F345" s="155" t="s">
        <v>263</v>
      </c>
      <c r="G345" s="152">
        <f>G346+G353+G357</f>
        <v>8533440</v>
      </c>
      <c r="I345" s="140"/>
    </row>
    <row r="346" spans="1:9" ht="25.5">
      <c r="A346" s="25" t="s">
        <v>48</v>
      </c>
      <c r="B346" s="154"/>
      <c r="C346" s="154" t="s">
        <v>656</v>
      </c>
      <c r="D346" s="154" t="s">
        <v>676</v>
      </c>
      <c r="E346" s="174" t="s">
        <v>353</v>
      </c>
      <c r="F346" s="154"/>
      <c r="G346" s="152">
        <f>G347+G350</f>
        <v>7994472</v>
      </c>
      <c r="I346" s="140"/>
    </row>
    <row r="347" spans="1:9" ht="25.5">
      <c r="A347" s="155" t="s">
        <v>589</v>
      </c>
      <c r="B347" s="154"/>
      <c r="C347" s="154" t="s">
        <v>656</v>
      </c>
      <c r="D347" s="154" t="s">
        <v>676</v>
      </c>
      <c r="E347" s="159" t="s">
        <v>49</v>
      </c>
      <c r="F347" s="154" t="s">
        <v>263</v>
      </c>
      <c r="G347" s="152">
        <f>SUM(G348:G349)</f>
        <v>7016472</v>
      </c>
      <c r="I347" s="140"/>
    </row>
    <row r="348" spans="1:9" ht="25.5">
      <c r="A348" s="153" t="s">
        <v>184</v>
      </c>
      <c r="B348" s="154"/>
      <c r="C348" s="154" t="s">
        <v>656</v>
      </c>
      <c r="D348" s="154" t="s">
        <v>676</v>
      </c>
      <c r="E348" s="159" t="s">
        <v>49</v>
      </c>
      <c r="F348" s="154">
        <v>200</v>
      </c>
      <c r="G348" s="156">
        <v>108000</v>
      </c>
      <c r="I348" s="140"/>
    </row>
    <row r="349" spans="1:9" ht="25.5">
      <c r="A349" s="153" t="s">
        <v>257</v>
      </c>
      <c r="B349" s="154"/>
      <c r="C349" s="154" t="s">
        <v>656</v>
      </c>
      <c r="D349" s="154" t="s">
        <v>676</v>
      </c>
      <c r="E349" s="159" t="s">
        <v>49</v>
      </c>
      <c r="F349" s="154">
        <v>300</v>
      </c>
      <c r="G349" s="156">
        <v>6908472</v>
      </c>
      <c r="I349" s="140"/>
    </row>
    <row r="350" spans="1:9" ht="25.5">
      <c r="A350" s="155" t="s">
        <v>590</v>
      </c>
      <c r="B350" s="154"/>
      <c r="C350" s="154" t="s">
        <v>656</v>
      </c>
      <c r="D350" s="154" t="s">
        <v>676</v>
      </c>
      <c r="E350" s="159" t="s">
        <v>50</v>
      </c>
      <c r="F350" s="154" t="s">
        <v>263</v>
      </c>
      <c r="G350" s="152">
        <f>SUM(G351:G352)</f>
        <v>978000</v>
      </c>
      <c r="I350" s="140"/>
    </row>
    <row r="351" spans="1:9" ht="25.5">
      <c r="A351" s="153" t="s">
        <v>184</v>
      </c>
      <c r="B351" s="154"/>
      <c r="C351" s="154" t="s">
        <v>656</v>
      </c>
      <c r="D351" s="154" t="s">
        <v>676</v>
      </c>
      <c r="E351" s="159" t="s">
        <v>50</v>
      </c>
      <c r="F351" s="154">
        <v>200</v>
      </c>
      <c r="G351" s="156">
        <v>19000</v>
      </c>
      <c r="I351" s="140"/>
    </row>
    <row r="352" spans="1:9" ht="25.5">
      <c r="A352" s="153" t="s">
        <v>257</v>
      </c>
      <c r="B352" s="154"/>
      <c r="C352" s="154" t="s">
        <v>656</v>
      </c>
      <c r="D352" s="154" t="s">
        <v>676</v>
      </c>
      <c r="E352" s="159" t="s">
        <v>50</v>
      </c>
      <c r="F352" s="154" t="s">
        <v>256</v>
      </c>
      <c r="G352" s="156">
        <v>959000</v>
      </c>
      <c r="I352" s="140"/>
    </row>
    <row r="353" spans="1:9" ht="25.5">
      <c r="A353" s="24" t="s">
        <v>350</v>
      </c>
      <c r="B353" s="151"/>
      <c r="C353" s="151" t="s">
        <v>656</v>
      </c>
      <c r="D353" s="151" t="s">
        <v>676</v>
      </c>
      <c r="E353" s="174" t="s">
        <v>354</v>
      </c>
      <c r="F353" s="151"/>
      <c r="G353" s="152">
        <f>G354</f>
        <v>140297</v>
      </c>
      <c r="I353" s="140"/>
    </row>
    <row r="354" spans="1:9" ht="38.25">
      <c r="A354" s="155" t="s">
        <v>618</v>
      </c>
      <c r="B354" s="154"/>
      <c r="C354" s="154" t="s">
        <v>656</v>
      </c>
      <c r="D354" s="154" t="s">
        <v>676</v>
      </c>
      <c r="E354" s="159" t="s">
        <v>355</v>
      </c>
      <c r="F354" s="154" t="s">
        <v>263</v>
      </c>
      <c r="G354" s="152">
        <f>SUM(G355:G356)</f>
        <v>140297</v>
      </c>
      <c r="I354" s="140"/>
    </row>
    <row r="355" spans="1:9" ht="25.5">
      <c r="A355" s="153" t="s">
        <v>184</v>
      </c>
      <c r="B355" s="154"/>
      <c r="C355" s="154" t="s">
        <v>656</v>
      </c>
      <c r="D355" s="154" t="s">
        <v>676</v>
      </c>
      <c r="E355" s="159" t="s">
        <v>355</v>
      </c>
      <c r="F355" s="154">
        <v>200</v>
      </c>
      <c r="G355" s="152">
        <v>2460.98</v>
      </c>
      <c r="I355" s="140"/>
    </row>
    <row r="356" spans="1:9" ht="25.5">
      <c r="A356" s="153" t="s">
        <v>257</v>
      </c>
      <c r="B356" s="154"/>
      <c r="C356" s="154" t="s">
        <v>656</v>
      </c>
      <c r="D356" s="154" t="s">
        <v>676</v>
      </c>
      <c r="E356" s="159" t="s">
        <v>355</v>
      </c>
      <c r="F356" s="154" t="s">
        <v>256</v>
      </c>
      <c r="G356" s="156">
        <v>137836.02</v>
      </c>
      <c r="I356" s="140"/>
    </row>
    <row r="357" spans="1:9" ht="38.25">
      <c r="A357" s="29" t="s">
        <v>51</v>
      </c>
      <c r="B357" s="151"/>
      <c r="C357" s="151" t="s">
        <v>656</v>
      </c>
      <c r="D357" s="151" t="s">
        <v>676</v>
      </c>
      <c r="E357" s="163" t="s">
        <v>356</v>
      </c>
      <c r="F357" s="151"/>
      <c r="G357" s="152">
        <f>G358</f>
        <v>398671</v>
      </c>
      <c r="I357" s="140"/>
    </row>
    <row r="358" spans="1:9" ht="38.25">
      <c r="A358" s="155" t="s">
        <v>281</v>
      </c>
      <c r="B358" s="154"/>
      <c r="C358" s="154" t="s">
        <v>656</v>
      </c>
      <c r="D358" s="154" t="s">
        <v>676</v>
      </c>
      <c r="E358" s="159" t="s">
        <v>357</v>
      </c>
      <c r="F358" s="154" t="s">
        <v>263</v>
      </c>
      <c r="G358" s="152">
        <f>SUM(G359:G360)</f>
        <v>398671</v>
      </c>
      <c r="I358" s="140"/>
    </row>
    <row r="359" spans="1:9" ht="25.5">
      <c r="A359" s="153" t="s">
        <v>184</v>
      </c>
      <c r="B359" s="154"/>
      <c r="C359" s="154" t="s">
        <v>656</v>
      </c>
      <c r="D359" s="154" t="s">
        <v>676</v>
      </c>
      <c r="E359" s="159" t="s">
        <v>357</v>
      </c>
      <c r="F359" s="154">
        <v>200</v>
      </c>
      <c r="G359" s="156">
        <v>2500</v>
      </c>
      <c r="I359" s="140"/>
    </row>
    <row r="360" spans="1:9" ht="25.5">
      <c r="A360" s="153" t="s">
        <v>257</v>
      </c>
      <c r="B360" s="154"/>
      <c r="C360" s="154" t="s">
        <v>656</v>
      </c>
      <c r="D360" s="154" t="s">
        <v>676</v>
      </c>
      <c r="E360" s="159" t="s">
        <v>357</v>
      </c>
      <c r="F360" s="154">
        <v>300</v>
      </c>
      <c r="G360" s="156">
        <v>396171</v>
      </c>
      <c r="I360" s="140"/>
    </row>
    <row r="361" spans="1:9" ht="12.75">
      <c r="A361" s="150" t="s">
        <v>670</v>
      </c>
      <c r="B361" s="151"/>
      <c r="C361" s="151" t="s">
        <v>656</v>
      </c>
      <c r="D361" s="151" t="s">
        <v>646</v>
      </c>
      <c r="E361" s="151" t="s">
        <v>263</v>
      </c>
      <c r="F361" s="151" t="s">
        <v>263</v>
      </c>
      <c r="G361" s="152">
        <f>G362</f>
        <v>5559763</v>
      </c>
      <c r="I361" s="140"/>
    </row>
    <row r="362" spans="1:9" ht="25.5">
      <c r="A362" s="161" t="s">
        <v>379</v>
      </c>
      <c r="B362" s="154"/>
      <c r="C362" s="154" t="s">
        <v>656</v>
      </c>
      <c r="D362" s="154" t="s">
        <v>646</v>
      </c>
      <c r="E362" s="159" t="s">
        <v>123</v>
      </c>
      <c r="F362" s="154"/>
      <c r="G362" s="152">
        <f>G363</f>
        <v>5559763</v>
      </c>
      <c r="I362" s="140"/>
    </row>
    <row r="363" spans="1:9" ht="63.75">
      <c r="A363" s="162" t="s">
        <v>473</v>
      </c>
      <c r="B363" s="154"/>
      <c r="C363" s="154" t="s">
        <v>656</v>
      </c>
      <c r="D363" s="154" t="s">
        <v>646</v>
      </c>
      <c r="E363" s="163" t="s">
        <v>128</v>
      </c>
      <c r="F363" s="155" t="s">
        <v>263</v>
      </c>
      <c r="G363" s="152">
        <f>G364+G367</f>
        <v>5559763</v>
      </c>
      <c r="I363" s="140"/>
    </row>
    <row r="364" spans="1:9" ht="38.25">
      <c r="A364" s="25" t="s">
        <v>566</v>
      </c>
      <c r="B364" s="154"/>
      <c r="C364" s="154" t="s">
        <v>656</v>
      </c>
      <c r="D364" s="154" t="s">
        <v>646</v>
      </c>
      <c r="E364" s="154" t="s">
        <v>351</v>
      </c>
      <c r="F364" s="154"/>
      <c r="G364" s="152">
        <f>G365</f>
        <v>1275422</v>
      </c>
      <c r="I364" s="140"/>
    </row>
    <row r="365" spans="1:9" ht="12.75">
      <c r="A365" s="24" t="s">
        <v>657</v>
      </c>
      <c r="B365" s="154"/>
      <c r="C365" s="154" t="s">
        <v>656</v>
      </c>
      <c r="D365" s="154" t="s">
        <v>646</v>
      </c>
      <c r="E365" s="159" t="s">
        <v>567</v>
      </c>
      <c r="F365" s="154"/>
      <c r="G365" s="152">
        <f>G366</f>
        <v>1275422</v>
      </c>
      <c r="I365" s="140"/>
    </row>
    <row r="366" spans="1:9" ht="17.25" customHeight="1">
      <c r="A366" s="153" t="s">
        <v>257</v>
      </c>
      <c r="B366" s="154"/>
      <c r="C366" s="154" t="s">
        <v>656</v>
      </c>
      <c r="D366" s="154" t="s">
        <v>646</v>
      </c>
      <c r="E366" s="159" t="s">
        <v>567</v>
      </c>
      <c r="F366" s="154">
        <v>300</v>
      </c>
      <c r="G366" s="156">
        <v>1275422</v>
      </c>
      <c r="I366" s="140"/>
    </row>
    <row r="367" spans="1:9" ht="51">
      <c r="A367" s="25" t="s">
        <v>352</v>
      </c>
      <c r="B367" s="154"/>
      <c r="C367" s="154" t="s">
        <v>656</v>
      </c>
      <c r="D367" s="154" t="s">
        <v>646</v>
      </c>
      <c r="E367" s="163" t="s">
        <v>568</v>
      </c>
      <c r="F367" s="155"/>
      <c r="G367" s="152">
        <f>G368</f>
        <v>4284341</v>
      </c>
      <c r="I367" s="140"/>
    </row>
    <row r="368" spans="1:9" ht="38.25">
      <c r="A368" s="155" t="s">
        <v>591</v>
      </c>
      <c r="B368" s="154"/>
      <c r="C368" s="154" t="s">
        <v>656</v>
      </c>
      <c r="D368" s="154" t="s">
        <v>646</v>
      </c>
      <c r="E368" s="159" t="s">
        <v>569</v>
      </c>
      <c r="F368" s="154" t="s">
        <v>263</v>
      </c>
      <c r="G368" s="152">
        <f>SUM(G369:G369)</f>
        <v>4284341</v>
      </c>
      <c r="I368" s="140"/>
    </row>
    <row r="369" spans="1:9" ht="25.5">
      <c r="A369" s="153" t="s">
        <v>257</v>
      </c>
      <c r="B369" s="154"/>
      <c r="C369" s="154" t="s">
        <v>656</v>
      </c>
      <c r="D369" s="154" t="s">
        <v>646</v>
      </c>
      <c r="E369" s="159" t="s">
        <v>569</v>
      </c>
      <c r="F369" s="154">
        <v>300</v>
      </c>
      <c r="G369" s="156">
        <v>4284341</v>
      </c>
      <c r="I369" s="140"/>
    </row>
    <row r="370" spans="1:9" ht="12.75">
      <c r="A370" s="150" t="s">
        <v>406</v>
      </c>
      <c r="B370" s="151"/>
      <c r="C370" s="151" t="s">
        <v>656</v>
      </c>
      <c r="D370" s="151" t="s">
        <v>647</v>
      </c>
      <c r="E370" s="151" t="s">
        <v>263</v>
      </c>
      <c r="F370" s="151" t="s">
        <v>263</v>
      </c>
      <c r="G370" s="152">
        <f>G371</f>
        <v>2072000</v>
      </c>
      <c r="I370" s="140"/>
    </row>
    <row r="371" spans="1:9" ht="25.5">
      <c r="A371" s="161" t="s">
        <v>379</v>
      </c>
      <c r="B371" s="154"/>
      <c r="C371" s="154" t="s">
        <v>656</v>
      </c>
      <c r="D371" s="154" t="s">
        <v>647</v>
      </c>
      <c r="E371" s="159" t="s">
        <v>123</v>
      </c>
      <c r="F371" s="154" t="s">
        <v>263</v>
      </c>
      <c r="G371" s="152">
        <f>G372</f>
        <v>2072000</v>
      </c>
      <c r="I371" s="140"/>
    </row>
    <row r="372" spans="1:9" ht="51">
      <c r="A372" s="162" t="s">
        <v>701</v>
      </c>
      <c r="B372" s="154"/>
      <c r="C372" s="154" t="s">
        <v>656</v>
      </c>
      <c r="D372" s="154" t="s">
        <v>647</v>
      </c>
      <c r="E372" s="163" t="s">
        <v>127</v>
      </c>
      <c r="F372" s="155" t="s">
        <v>263</v>
      </c>
      <c r="G372" s="152">
        <f>G373</f>
        <v>2072000</v>
      </c>
      <c r="I372" s="140"/>
    </row>
    <row r="373" spans="1:9" ht="51">
      <c r="A373" s="26" t="s">
        <v>570</v>
      </c>
      <c r="B373" s="154"/>
      <c r="C373" s="154" t="s">
        <v>656</v>
      </c>
      <c r="D373" s="154" t="s">
        <v>647</v>
      </c>
      <c r="E373" s="163" t="s">
        <v>571</v>
      </c>
      <c r="F373" s="155"/>
      <c r="G373" s="152">
        <f>G374</f>
        <v>2072000</v>
      </c>
      <c r="I373" s="140"/>
    </row>
    <row r="374" spans="1:9" ht="38.25">
      <c r="A374" s="155" t="s">
        <v>711</v>
      </c>
      <c r="B374" s="154"/>
      <c r="C374" s="154" t="s">
        <v>656</v>
      </c>
      <c r="D374" s="154" t="s">
        <v>647</v>
      </c>
      <c r="E374" s="163" t="s">
        <v>572</v>
      </c>
      <c r="F374" s="154" t="s">
        <v>263</v>
      </c>
      <c r="G374" s="152">
        <f>SUM(G375:G376)</f>
        <v>2072000</v>
      </c>
      <c r="I374" s="140"/>
    </row>
    <row r="375" spans="1:9" ht="63.75">
      <c r="A375" s="153" t="s">
        <v>268</v>
      </c>
      <c r="B375" s="154"/>
      <c r="C375" s="154" t="s">
        <v>656</v>
      </c>
      <c r="D375" s="154" t="s">
        <v>647</v>
      </c>
      <c r="E375" s="163" t="s">
        <v>572</v>
      </c>
      <c r="F375" s="154">
        <v>100</v>
      </c>
      <c r="G375" s="156">
        <v>1914082.48</v>
      </c>
      <c r="I375" s="140"/>
    </row>
    <row r="376" spans="1:9" ht="25.5">
      <c r="A376" s="153" t="s">
        <v>184</v>
      </c>
      <c r="B376" s="154"/>
      <c r="C376" s="154" t="s">
        <v>656</v>
      </c>
      <c r="D376" s="154" t="s">
        <v>647</v>
      </c>
      <c r="E376" s="163" t="s">
        <v>572</v>
      </c>
      <c r="F376" s="155">
        <v>200</v>
      </c>
      <c r="G376" s="156">
        <v>157917.52</v>
      </c>
      <c r="I376" s="140"/>
    </row>
    <row r="377" spans="1:9" ht="25.5">
      <c r="A377" s="146" t="s">
        <v>251</v>
      </c>
      <c r="B377" s="147"/>
      <c r="C377" s="147" t="s">
        <v>675</v>
      </c>
      <c r="D377" s="148" t="s">
        <v>214</v>
      </c>
      <c r="E377" s="147" t="s">
        <v>263</v>
      </c>
      <c r="F377" s="147" t="s">
        <v>263</v>
      </c>
      <c r="G377" s="183">
        <f aca="true" t="shared" si="1" ref="G377:G382">G378</f>
        <v>44000</v>
      </c>
      <c r="I377" s="140"/>
    </row>
    <row r="378" spans="1:9" ht="25.5">
      <c r="A378" s="150" t="s">
        <v>252</v>
      </c>
      <c r="B378" s="151"/>
      <c r="C378" s="151" t="s">
        <v>675</v>
      </c>
      <c r="D378" s="151" t="s">
        <v>643</v>
      </c>
      <c r="E378" s="171" t="s">
        <v>263</v>
      </c>
      <c r="F378" s="171" t="s">
        <v>263</v>
      </c>
      <c r="G378" s="152">
        <f t="shared" si="1"/>
        <v>44000</v>
      </c>
      <c r="I378" s="140"/>
    </row>
    <row r="379" spans="1:9" ht="25.5">
      <c r="A379" s="161" t="s">
        <v>388</v>
      </c>
      <c r="B379" s="154"/>
      <c r="C379" s="154" t="s">
        <v>675</v>
      </c>
      <c r="D379" s="154" t="s">
        <v>643</v>
      </c>
      <c r="E379" s="159" t="s">
        <v>529</v>
      </c>
      <c r="F379" s="157" t="s">
        <v>263</v>
      </c>
      <c r="G379" s="152">
        <f t="shared" si="1"/>
        <v>44000</v>
      </c>
      <c r="I379" s="140"/>
    </row>
    <row r="380" spans="1:9" ht="51">
      <c r="A380" s="162" t="s">
        <v>674</v>
      </c>
      <c r="B380" s="154"/>
      <c r="C380" s="154" t="s">
        <v>675</v>
      </c>
      <c r="D380" s="154" t="s">
        <v>643</v>
      </c>
      <c r="E380" s="159" t="s">
        <v>346</v>
      </c>
      <c r="F380" s="164" t="s">
        <v>263</v>
      </c>
      <c r="G380" s="152">
        <f t="shared" si="1"/>
        <v>44000</v>
      </c>
      <c r="I380" s="140"/>
    </row>
    <row r="381" spans="1:9" ht="51">
      <c r="A381" s="24" t="s">
        <v>345</v>
      </c>
      <c r="B381" s="154"/>
      <c r="C381" s="154" t="s">
        <v>675</v>
      </c>
      <c r="D381" s="154" t="s">
        <v>643</v>
      </c>
      <c r="E381" s="159" t="s">
        <v>347</v>
      </c>
      <c r="F381" s="164"/>
      <c r="G381" s="152">
        <f t="shared" si="1"/>
        <v>44000</v>
      </c>
      <c r="I381" s="140"/>
    </row>
    <row r="382" spans="1:9" ht="12.75">
      <c r="A382" s="27" t="s">
        <v>348</v>
      </c>
      <c r="B382" s="154"/>
      <c r="C382" s="154" t="s">
        <v>675</v>
      </c>
      <c r="D382" s="154" t="s">
        <v>643</v>
      </c>
      <c r="E382" s="159" t="s">
        <v>349</v>
      </c>
      <c r="F382" s="157" t="s">
        <v>263</v>
      </c>
      <c r="G382" s="152">
        <f t="shared" si="1"/>
        <v>44000</v>
      </c>
      <c r="I382" s="140"/>
    </row>
    <row r="383" spans="1:9" ht="25.5">
      <c r="A383" s="165" t="s">
        <v>282</v>
      </c>
      <c r="B383" s="166"/>
      <c r="C383" s="166" t="s">
        <v>675</v>
      </c>
      <c r="D383" s="166" t="s">
        <v>643</v>
      </c>
      <c r="E383" s="167" t="s">
        <v>349</v>
      </c>
      <c r="F383" s="166" t="s">
        <v>258</v>
      </c>
      <c r="G383" s="168">
        <v>44000</v>
      </c>
      <c r="I383" s="140"/>
    </row>
    <row r="384" spans="1:9" ht="12.75">
      <c r="A384" s="199" t="s">
        <v>367</v>
      </c>
      <c r="B384" s="200" t="s">
        <v>366</v>
      </c>
      <c r="C384" s="201"/>
      <c r="D384" s="201"/>
      <c r="E384" s="202"/>
      <c r="F384" s="203"/>
      <c r="G384" s="204">
        <f>G385</f>
        <v>927689</v>
      </c>
      <c r="I384" s="140"/>
    </row>
    <row r="385" spans="1:9" ht="25.5">
      <c r="A385" s="205" t="s">
        <v>386</v>
      </c>
      <c r="B385" s="206"/>
      <c r="C385" s="206" t="s">
        <v>643</v>
      </c>
      <c r="D385" s="206" t="s">
        <v>647</v>
      </c>
      <c r="E385" s="207" t="s">
        <v>532</v>
      </c>
      <c r="F385" s="208" t="s">
        <v>263</v>
      </c>
      <c r="G385" s="209">
        <f>G386+G389</f>
        <v>927689</v>
      </c>
      <c r="I385" s="140"/>
    </row>
    <row r="386" spans="1:9" ht="25.5">
      <c r="A386" s="162" t="s">
        <v>387</v>
      </c>
      <c r="B386" s="154"/>
      <c r="C386" s="154" t="s">
        <v>643</v>
      </c>
      <c r="D386" s="154" t="s">
        <v>647</v>
      </c>
      <c r="E386" s="163" t="s">
        <v>533</v>
      </c>
      <c r="F386" s="154" t="s">
        <v>263</v>
      </c>
      <c r="G386" s="152">
        <f>G387</f>
        <v>591433.54</v>
      </c>
      <c r="I386" s="140"/>
    </row>
    <row r="387" spans="1:9" ht="25.5">
      <c r="A387" s="155" t="s">
        <v>613</v>
      </c>
      <c r="B387" s="154"/>
      <c r="C387" s="154" t="s">
        <v>643</v>
      </c>
      <c r="D387" s="154" t="s">
        <v>647</v>
      </c>
      <c r="E387" s="159" t="s">
        <v>534</v>
      </c>
      <c r="F387" s="154"/>
      <c r="G387" s="152">
        <f>SUM(G388:G388)</f>
        <v>591433.54</v>
      </c>
      <c r="I387" s="140"/>
    </row>
    <row r="388" spans="1:9" ht="63.75">
      <c r="A388" s="153" t="s">
        <v>268</v>
      </c>
      <c r="B388" s="154"/>
      <c r="C388" s="154" t="s">
        <v>643</v>
      </c>
      <c r="D388" s="154" t="s">
        <v>647</v>
      </c>
      <c r="E388" s="159" t="s">
        <v>534</v>
      </c>
      <c r="F388" s="154">
        <v>100</v>
      </c>
      <c r="G388" s="152">
        <v>591433.54</v>
      </c>
      <c r="I388" s="140"/>
    </row>
    <row r="389" spans="1:9" ht="25.5">
      <c r="A389" s="153" t="s">
        <v>161</v>
      </c>
      <c r="B389" s="154"/>
      <c r="C389" s="154" t="s">
        <v>643</v>
      </c>
      <c r="D389" s="154" t="s">
        <v>647</v>
      </c>
      <c r="E389" s="163" t="s">
        <v>160</v>
      </c>
      <c r="F389" s="154"/>
      <c r="G389" s="152">
        <f>G390</f>
        <v>336255.46</v>
      </c>
      <c r="I389" s="140"/>
    </row>
    <row r="390" spans="1:9" ht="25.5">
      <c r="A390" s="155" t="s">
        <v>613</v>
      </c>
      <c r="B390" s="154"/>
      <c r="C390" s="154" t="s">
        <v>643</v>
      </c>
      <c r="D390" s="154" t="s">
        <v>647</v>
      </c>
      <c r="E390" s="159" t="s">
        <v>159</v>
      </c>
      <c r="F390" s="154"/>
      <c r="G390" s="152">
        <f>SUM(G391:G392)</f>
        <v>336255.46</v>
      </c>
      <c r="I390" s="140"/>
    </row>
    <row r="391" spans="1:9" ht="63.75">
      <c r="A391" s="153" t="s">
        <v>268</v>
      </c>
      <c r="B391" s="154"/>
      <c r="C391" s="154" t="s">
        <v>643</v>
      </c>
      <c r="D391" s="154" t="s">
        <v>647</v>
      </c>
      <c r="E391" s="159" t="s">
        <v>159</v>
      </c>
      <c r="F391" s="154">
        <v>100</v>
      </c>
      <c r="G391" s="156">
        <v>325255.46</v>
      </c>
      <c r="I391" s="140"/>
    </row>
    <row r="392" spans="1:9" ht="25.5">
      <c r="A392" s="210" t="s">
        <v>184</v>
      </c>
      <c r="B392" s="211"/>
      <c r="C392" s="211" t="s">
        <v>643</v>
      </c>
      <c r="D392" s="211" t="s">
        <v>647</v>
      </c>
      <c r="E392" s="212" t="s">
        <v>159</v>
      </c>
      <c r="F392" s="211">
        <v>200</v>
      </c>
      <c r="G392" s="213">
        <v>11000</v>
      </c>
      <c r="I392" s="140"/>
    </row>
  </sheetData>
  <sheetProtection/>
  <printOptions/>
  <pageMargins left="0.7874015748031497" right="0.32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D26"/>
  <sheetViews>
    <sheetView showGridLines="0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22.140625" style="3" customWidth="1"/>
    <col min="2" max="2" width="50.140625" style="3" customWidth="1"/>
    <col min="3" max="3" width="14.57421875" style="3" customWidth="1"/>
    <col min="4" max="16384" width="9.140625" style="3" customWidth="1"/>
  </cols>
  <sheetData>
    <row r="1" spans="2:3" ht="12.75">
      <c r="B1" s="23"/>
      <c r="C1" s="23" t="s">
        <v>292</v>
      </c>
    </row>
    <row r="2" spans="2:3" ht="12.75">
      <c r="B2" s="23"/>
      <c r="C2" s="11" t="s">
        <v>619</v>
      </c>
    </row>
    <row r="3" spans="2:3" ht="12.75">
      <c r="B3" s="10"/>
      <c r="C3" s="58" t="s">
        <v>617</v>
      </c>
    </row>
    <row r="4" spans="1:3" ht="12.75">
      <c r="A4" s="332" t="s">
        <v>120</v>
      </c>
      <c r="B4" s="332"/>
      <c r="C4" s="332"/>
    </row>
    <row r="5" spans="1:3" ht="12.75">
      <c r="A5" s="4"/>
      <c r="C5" s="5" t="s">
        <v>582</v>
      </c>
    </row>
    <row r="6" spans="1:3" ht="33.75">
      <c r="A6" s="6" t="s">
        <v>687</v>
      </c>
      <c r="B6" s="6" t="s">
        <v>297</v>
      </c>
      <c r="C6" s="6" t="s">
        <v>156</v>
      </c>
    </row>
    <row r="7" spans="1:3" ht="12.75">
      <c r="A7" s="6">
        <v>1</v>
      </c>
      <c r="B7" s="6">
        <v>2</v>
      </c>
      <c r="C7" s="6">
        <v>3</v>
      </c>
    </row>
    <row r="8" spans="1:4" ht="25.5">
      <c r="A8" s="7" t="s">
        <v>650</v>
      </c>
      <c r="B8" s="8" t="s">
        <v>680</v>
      </c>
      <c r="C8" s="45">
        <f>C12+C17</f>
        <v>12133951.98000002</v>
      </c>
      <c r="D8" s="19"/>
    </row>
    <row r="9" spans="1:4" ht="25.5" hidden="1">
      <c r="A9" s="7" t="s">
        <v>651</v>
      </c>
      <c r="B9" s="2" t="s">
        <v>652</v>
      </c>
      <c r="C9" s="46">
        <f>C10</f>
        <v>0</v>
      </c>
      <c r="D9" s="19"/>
    </row>
    <row r="10" spans="1:4" ht="25.5" hidden="1">
      <c r="A10" s="7" t="s">
        <v>653</v>
      </c>
      <c r="B10" s="2" t="s">
        <v>654</v>
      </c>
      <c r="C10" s="46">
        <f>C11</f>
        <v>0</v>
      </c>
      <c r="D10" s="19"/>
    </row>
    <row r="11" spans="1:4" ht="38.25" hidden="1">
      <c r="A11" s="7" t="s">
        <v>681</v>
      </c>
      <c r="B11" s="2" t="s">
        <v>61</v>
      </c>
      <c r="C11" s="47"/>
      <c r="D11" s="19"/>
    </row>
    <row r="12" spans="1:4" ht="25.5">
      <c r="A12" s="7" t="s">
        <v>683</v>
      </c>
      <c r="B12" s="2" t="s">
        <v>682</v>
      </c>
      <c r="C12" s="46">
        <f>C13+C15</f>
        <v>-9217000</v>
      </c>
      <c r="D12" s="19"/>
    </row>
    <row r="13" spans="1:4" ht="38.25">
      <c r="A13" s="20" t="s">
        <v>381</v>
      </c>
      <c r="B13" s="21" t="s">
        <v>520</v>
      </c>
      <c r="C13" s="46">
        <f>C14</f>
        <v>14746000</v>
      </c>
      <c r="D13" s="19"/>
    </row>
    <row r="14" spans="1:4" ht="38.25">
      <c r="A14" s="20" t="s">
        <v>382</v>
      </c>
      <c r="B14" s="21" t="s">
        <v>521</v>
      </c>
      <c r="C14" s="47">
        <v>14746000</v>
      </c>
      <c r="D14" s="19"/>
    </row>
    <row r="15" spans="1:4" ht="38.25">
      <c r="A15" s="7" t="s">
        <v>383</v>
      </c>
      <c r="B15" s="2" t="s">
        <v>678</v>
      </c>
      <c r="C15" s="46">
        <f>C16</f>
        <v>-23963000</v>
      </c>
      <c r="D15" s="19"/>
    </row>
    <row r="16" spans="1:4" ht="38.25">
      <c r="A16" s="7" t="s">
        <v>384</v>
      </c>
      <c r="B16" s="2" t="s">
        <v>679</v>
      </c>
      <c r="C16" s="47">
        <v>-23963000</v>
      </c>
      <c r="D16" s="19"/>
    </row>
    <row r="17" spans="1:4" ht="25.5">
      <c r="A17" s="7" t="s">
        <v>510</v>
      </c>
      <c r="B17" s="9" t="s">
        <v>579</v>
      </c>
      <c r="C17" s="48">
        <f>C18+C22</f>
        <v>21350951.98000002</v>
      </c>
      <c r="D17" s="19"/>
    </row>
    <row r="18" spans="1:4" ht="12.75">
      <c r="A18" s="7" t="s">
        <v>511</v>
      </c>
      <c r="B18" s="9" t="s">
        <v>512</v>
      </c>
      <c r="C18" s="48">
        <f>C19</f>
        <v>-369981566.39</v>
      </c>
      <c r="D18" s="19"/>
    </row>
    <row r="19" spans="1:4" ht="12.75">
      <c r="A19" s="7" t="s">
        <v>513</v>
      </c>
      <c r="B19" s="9" t="s">
        <v>514</v>
      </c>
      <c r="C19" s="48">
        <f>C20</f>
        <v>-369981566.39</v>
      </c>
      <c r="D19" s="19"/>
    </row>
    <row r="20" spans="1:4" ht="25.5">
      <c r="A20" s="7" t="s">
        <v>580</v>
      </c>
      <c r="B20" s="9" t="s">
        <v>515</v>
      </c>
      <c r="C20" s="48">
        <f>C21</f>
        <v>-369981566.39</v>
      </c>
      <c r="D20" s="19"/>
    </row>
    <row r="21" spans="1:4" ht="25.5">
      <c r="A21" s="7" t="s">
        <v>516</v>
      </c>
      <c r="B21" s="9" t="s">
        <v>517</v>
      </c>
      <c r="C21" s="47">
        <v>-369981566.39</v>
      </c>
      <c r="D21" s="19"/>
    </row>
    <row r="22" spans="1:4" ht="12.75">
      <c r="A22" s="7" t="s">
        <v>52</v>
      </c>
      <c r="B22" s="9" t="s">
        <v>581</v>
      </c>
      <c r="C22" s="48">
        <f>C23</f>
        <v>391332518.37</v>
      </c>
      <c r="D22" s="19"/>
    </row>
    <row r="23" spans="1:4" ht="12.75">
      <c r="A23" s="7" t="s">
        <v>53</v>
      </c>
      <c r="B23" s="9" t="s">
        <v>54</v>
      </c>
      <c r="C23" s="48">
        <f>C24</f>
        <v>391332518.37</v>
      </c>
      <c r="D23" s="19"/>
    </row>
    <row r="24" spans="1:4" ht="25.5">
      <c r="A24" s="7" t="s">
        <v>55</v>
      </c>
      <c r="B24" s="9" t="s">
        <v>56</v>
      </c>
      <c r="C24" s="48">
        <f>C25</f>
        <v>391332518.37</v>
      </c>
      <c r="D24" s="19"/>
    </row>
    <row r="25" spans="1:4" ht="25.5">
      <c r="A25" s="325" t="s">
        <v>57</v>
      </c>
      <c r="B25" s="326" t="s">
        <v>58</v>
      </c>
      <c r="C25" s="327">
        <v>391332518.37</v>
      </c>
      <c r="D25" s="19"/>
    </row>
    <row r="26" ht="12.75">
      <c r="C26" s="22"/>
    </row>
  </sheetData>
  <sheetProtection/>
  <mergeCells count="1">
    <mergeCell ref="A4:C4"/>
  </mergeCells>
  <printOptions/>
  <pageMargins left="0.984251968503937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299"/>
  <sheetViews>
    <sheetView showGridLines="0" zoomScaleSheetLayoutView="100" zoomScalePageLayoutView="0" workbookViewId="0" topLeftCell="A61">
      <selection activeCell="D121" sqref="D121"/>
    </sheetView>
  </sheetViews>
  <sheetFormatPr defaultColWidth="9.140625" defaultRowHeight="12.75"/>
  <cols>
    <col min="1" max="1" width="61.28125" style="119" customWidth="1"/>
    <col min="2" max="2" width="13.421875" style="119" bestFit="1" customWidth="1"/>
    <col min="3" max="3" width="4.57421875" style="119" customWidth="1"/>
    <col min="4" max="4" width="14.00390625" style="119" customWidth="1"/>
    <col min="5" max="5" width="12.7109375" style="233" customWidth="1"/>
    <col min="6" max="6" width="11.421875" style="234" customWidth="1"/>
    <col min="7" max="7" width="9.140625" style="233" customWidth="1"/>
    <col min="8" max="16384" width="9.140625" style="119" customWidth="1"/>
  </cols>
  <sheetData>
    <row r="1" spans="1:4" ht="12.75">
      <c r="A1" s="115"/>
      <c r="B1" s="214"/>
      <c r="C1" s="214"/>
      <c r="D1" s="232" t="s">
        <v>155</v>
      </c>
    </row>
    <row r="2" spans="1:4" ht="12.75">
      <c r="A2" s="115"/>
      <c r="B2" s="214"/>
      <c r="C2" s="214"/>
      <c r="D2" s="72" t="s">
        <v>619</v>
      </c>
    </row>
    <row r="3" spans="1:4" ht="12.75">
      <c r="A3" s="115"/>
      <c r="B3" s="214"/>
      <c r="C3" s="214"/>
      <c r="D3" s="58" t="s">
        <v>373</v>
      </c>
    </row>
    <row r="4" spans="1:4" ht="12.75">
      <c r="A4" s="121"/>
      <c r="B4" s="214"/>
      <c r="C4" s="214"/>
      <c r="D4" s="235"/>
    </row>
    <row r="5" spans="1:4" ht="38.25">
      <c r="A5" s="124" t="s">
        <v>500</v>
      </c>
      <c r="B5" s="124"/>
      <c r="C5" s="124"/>
      <c r="D5" s="124"/>
    </row>
    <row r="6" spans="1:4" ht="12.75">
      <c r="A6" s="127"/>
      <c r="B6" s="127"/>
      <c r="C6" s="127"/>
      <c r="D6" s="127" t="s">
        <v>264</v>
      </c>
    </row>
    <row r="7" spans="1:4" ht="12.75">
      <c r="A7" s="215" t="s">
        <v>260</v>
      </c>
      <c r="B7" s="215" t="s">
        <v>638</v>
      </c>
      <c r="C7" s="215" t="s">
        <v>639</v>
      </c>
      <c r="D7" s="215" t="s">
        <v>298</v>
      </c>
    </row>
    <row r="8" spans="1:6" ht="12.75">
      <c r="A8" s="236" t="s">
        <v>248</v>
      </c>
      <c r="B8" s="236">
        <v>2</v>
      </c>
      <c r="C8" s="236">
        <v>3</v>
      </c>
      <c r="D8" s="236">
        <v>4</v>
      </c>
      <c r="E8" s="135"/>
      <c r="F8" s="135"/>
    </row>
    <row r="9" spans="1:7" ht="12.75">
      <c r="A9" s="220" t="s">
        <v>265</v>
      </c>
      <c r="B9" s="221" t="s">
        <v>263</v>
      </c>
      <c r="C9" s="221" t="s">
        <v>263</v>
      </c>
      <c r="D9" s="222">
        <f>D10+D27+D66+D121+D128+D148+D166+D184+D195+D206+D216+D225+D229+D234+D238+D247+D255+D261+D281</f>
        <v>367369518.37</v>
      </c>
      <c r="E9" s="119"/>
      <c r="F9" s="140"/>
      <c r="G9" s="237"/>
    </row>
    <row r="10" spans="1:6" ht="25.5">
      <c r="A10" s="238" t="s">
        <v>136</v>
      </c>
      <c r="B10" s="239" t="s">
        <v>324</v>
      </c>
      <c r="C10" s="240" t="s">
        <v>263</v>
      </c>
      <c r="D10" s="195">
        <f>D11+D17</f>
        <v>27794150</v>
      </c>
      <c r="E10" s="119"/>
      <c r="F10" s="140"/>
    </row>
    <row r="11" spans="1:6" ht="25.5">
      <c r="A11" s="162" t="s">
        <v>586</v>
      </c>
      <c r="B11" s="159" t="s">
        <v>325</v>
      </c>
      <c r="C11" s="154" t="s">
        <v>263</v>
      </c>
      <c r="D11" s="152">
        <f>D12</f>
        <v>4287683</v>
      </c>
      <c r="F11" s="140"/>
    </row>
    <row r="12" spans="1:6" ht="12.75">
      <c r="A12" s="39" t="s">
        <v>301</v>
      </c>
      <c r="B12" s="159" t="s">
        <v>326</v>
      </c>
      <c r="C12" s="154"/>
      <c r="D12" s="152">
        <f>D13</f>
        <v>4287683</v>
      </c>
      <c r="F12" s="140"/>
    </row>
    <row r="13" spans="1:6" ht="25.5">
      <c r="A13" s="155" t="s">
        <v>615</v>
      </c>
      <c r="B13" s="159" t="s">
        <v>327</v>
      </c>
      <c r="C13" s="154" t="s">
        <v>263</v>
      </c>
      <c r="D13" s="152">
        <f>SUM(D14:D16)</f>
        <v>4287683</v>
      </c>
      <c r="F13" s="140"/>
    </row>
    <row r="14" spans="1:6" ht="51">
      <c r="A14" s="153" t="s">
        <v>268</v>
      </c>
      <c r="B14" s="159" t="s">
        <v>327</v>
      </c>
      <c r="C14" s="154">
        <v>100</v>
      </c>
      <c r="D14" s="156">
        <v>3957934</v>
      </c>
      <c r="F14" s="140"/>
    </row>
    <row r="15" spans="1:6" ht="25.5">
      <c r="A15" s="153" t="s">
        <v>184</v>
      </c>
      <c r="B15" s="159" t="s">
        <v>327</v>
      </c>
      <c r="C15" s="154">
        <v>200</v>
      </c>
      <c r="D15" s="156">
        <v>295793</v>
      </c>
      <c r="F15" s="140"/>
    </row>
    <row r="16" spans="1:6" ht="12.75">
      <c r="A16" s="153" t="s">
        <v>253</v>
      </c>
      <c r="B16" s="159" t="s">
        <v>327</v>
      </c>
      <c r="C16" s="154">
        <v>800</v>
      </c>
      <c r="D16" s="156">
        <v>33956</v>
      </c>
      <c r="F16" s="140"/>
    </row>
    <row r="17" spans="1:6" ht="25.5">
      <c r="A17" s="162" t="s">
        <v>587</v>
      </c>
      <c r="B17" s="159" t="s">
        <v>328</v>
      </c>
      <c r="C17" s="154"/>
      <c r="D17" s="152">
        <f>D18</f>
        <v>23506467</v>
      </c>
      <c r="F17" s="140"/>
    </row>
    <row r="18" spans="1:6" ht="38.25">
      <c r="A18" s="39" t="s">
        <v>47</v>
      </c>
      <c r="B18" s="159" t="s">
        <v>329</v>
      </c>
      <c r="C18" s="154"/>
      <c r="D18" s="152">
        <f>D19+D21+D23+D25</f>
        <v>23506467</v>
      </c>
      <c r="F18" s="140"/>
    </row>
    <row r="19" spans="1:6" ht="25.5">
      <c r="A19" s="155" t="s">
        <v>615</v>
      </c>
      <c r="B19" s="159" t="s">
        <v>330</v>
      </c>
      <c r="C19" s="154"/>
      <c r="D19" s="152">
        <f>D20</f>
        <v>17371017</v>
      </c>
      <c r="F19" s="140"/>
    </row>
    <row r="20" spans="1:6" ht="25.5">
      <c r="A20" s="153" t="s">
        <v>266</v>
      </c>
      <c r="B20" s="159" t="s">
        <v>330</v>
      </c>
      <c r="C20" s="154">
        <v>600</v>
      </c>
      <c r="D20" s="156">
        <v>17371017</v>
      </c>
      <c r="F20" s="140"/>
    </row>
    <row r="21" spans="1:6" ht="12.75">
      <c r="A21" s="109" t="s">
        <v>440</v>
      </c>
      <c r="B21" s="159" t="s">
        <v>439</v>
      </c>
      <c r="C21" s="155"/>
      <c r="D21" s="156">
        <v>5095842</v>
      </c>
      <c r="F21" s="140"/>
    </row>
    <row r="22" spans="1:6" ht="25.5">
      <c r="A22" s="153" t="s">
        <v>266</v>
      </c>
      <c r="B22" s="159" t="s">
        <v>439</v>
      </c>
      <c r="C22" s="155">
        <v>600</v>
      </c>
      <c r="D22" s="156">
        <v>5095842</v>
      </c>
      <c r="F22" s="140"/>
    </row>
    <row r="23" spans="1:6" ht="25.5">
      <c r="A23" s="109" t="s">
        <v>456</v>
      </c>
      <c r="B23" s="159" t="s">
        <v>457</v>
      </c>
      <c r="C23" s="155"/>
      <c r="D23" s="156">
        <v>236408</v>
      </c>
      <c r="F23" s="140"/>
    </row>
    <row r="24" spans="1:6" ht="25.5">
      <c r="A24" s="153" t="s">
        <v>266</v>
      </c>
      <c r="B24" s="159" t="s">
        <v>457</v>
      </c>
      <c r="C24" s="155">
        <v>600</v>
      </c>
      <c r="D24" s="156">
        <v>236408</v>
      </c>
      <c r="F24" s="140"/>
    </row>
    <row r="25" spans="1:6" ht="24">
      <c r="A25" s="40" t="s">
        <v>299</v>
      </c>
      <c r="B25" s="159" t="s">
        <v>230</v>
      </c>
      <c r="C25" s="154"/>
      <c r="D25" s="152">
        <v>803200</v>
      </c>
      <c r="F25" s="140"/>
    </row>
    <row r="26" spans="1:6" ht="25.5">
      <c r="A26" s="165" t="s">
        <v>267</v>
      </c>
      <c r="B26" s="167" t="s">
        <v>230</v>
      </c>
      <c r="C26" s="166">
        <v>200</v>
      </c>
      <c r="D26" s="241">
        <v>803200</v>
      </c>
      <c r="F26" s="140"/>
    </row>
    <row r="27" spans="1:6" ht="25.5">
      <c r="A27" s="196" t="s">
        <v>379</v>
      </c>
      <c r="B27" s="242" t="s">
        <v>123</v>
      </c>
      <c r="C27" s="147" t="s">
        <v>263</v>
      </c>
      <c r="D27" s="183">
        <f>D28+D36+D55</f>
        <v>17187503</v>
      </c>
      <c r="F27" s="140"/>
    </row>
    <row r="28" spans="1:6" ht="38.25">
      <c r="A28" s="162" t="s">
        <v>701</v>
      </c>
      <c r="B28" s="163" t="s">
        <v>127</v>
      </c>
      <c r="C28" s="154" t="s">
        <v>263</v>
      </c>
      <c r="D28" s="152">
        <f>D29+D32</f>
        <v>2196300</v>
      </c>
      <c r="F28" s="140"/>
    </row>
    <row r="29" spans="1:6" ht="38.25">
      <c r="A29" s="41" t="s">
        <v>201</v>
      </c>
      <c r="B29" s="163" t="s">
        <v>359</v>
      </c>
      <c r="C29" s="154"/>
      <c r="D29" s="152">
        <f>D30</f>
        <v>124300</v>
      </c>
      <c r="F29" s="140"/>
    </row>
    <row r="30" spans="1:6" ht="38.25">
      <c r="A30" s="155" t="s">
        <v>38</v>
      </c>
      <c r="B30" s="159" t="s">
        <v>202</v>
      </c>
      <c r="C30" s="154" t="s">
        <v>263</v>
      </c>
      <c r="D30" s="152">
        <f>D31</f>
        <v>124300</v>
      </c>
      <c r="F30" s="140"/>
    </row>
    <row r="31" spans="1:6" ht="25.5">
      <c r="A31" s="153" t="s">
        <v>266</v>
      </c>
      <c r="B31" s="159" t="s">
        <v>202</v>
      </c>
      <c r="C31" s="154" t="s">
        <v>255</v>
      </c>
      <c r="D31" s="156">
        <v>124300</v>
      </c>
      <c r="F31" s="140"/>
    </row>
    <row r="32" spans="1:6" ht="38.25">
      <c r="A32" s="42" t="s">
        <v>570</v>
      </c>
      <c r="B32" s="163" t="s">
        <v>571</v>
      </c>
      <c r="C32" s="154"/>
      <c r="D32" s="152">
        <f>D33</f>
        <v>2072000</v>
      </c>
      <c r="F32" s="140"/>
    </row>
    <row r="33" spans="1:6" ht="25.5">
      <c r="A33" s="155" t="s">
        <v>711</v>
      </c>
      <c r="B33" s="163" t="s">
        <v>572</v>
      </c>
      <c r="C33" s="154" t="s">
        <v>263</v>
      </c>
      <c r="D33" s="152">
        <f>SUM(D34:D35)</f>
        <v>2072000</v>
      </c>
      <c r="F33" s="140"/>
    </row>
    <row r="34" spans="1:6" ht="51">
      <c r="A34" s="153" t="s">
        <v>268</v>
      </c>
      <c r="B34" s="163" t="s">
        <v>572</v>
      </c>
      <c r="C34" s="154">
        <v>100</v>
      </c>
      <c r="D34" s="156">
        <v>1914082.48</v>
      </c>
      <c r="F34" s="140"/>
    </row>
    <row r="35" spans="1:6" ht="25.5">
      <c r="A35" s="153" t="s">
        <v>184</v>
      </c>
      <c r="B35" s="163" t="s">
        <v>572</v>
      </c>
      <c r="C35" s="154">
        <v>200</v>
      </c>
      <c r="D35" s="156">
        <v>157917.52</v>
      </c>
      <c r="F35" s="140"/>
    </row>
    <row r="36" spans="1:6" ht="38.25">
      <c r="A36" s="162" t="s">
        <v>380</v>
      </c>
      <c r="B36" s="163" t="s">
        <v>344</v>
      </c>
      <c r="C36" s="154" t="s">
        <v>263</v>
      </c>
      <c r="D36" s="152">
        <f>D37+D44+D48+D51</f>
        <v>8543440</v>
      </c>
      <c r="F36" s="140"/>
    </row>
    <row r="37" spans="1:6" ht="25.5">
      <c r="A37" s="39" t="s">
        <v>48</v>
      </c>
      <c r="B37" s="163" t="s">
        <v>353</v>
      </c>
      <c r="C37" s="154"/>
      <c r="D37" s="152">
        <f>D38+D41</f>
        <v>7994472</v>
      </c>
      <c r="F37" s="140"/>
    </row>
    <row r="38" spans="1:6" ht="12.75">
      <c r="A38" s="155" t="s">
        <v>589</v>
      </c>
      <c r="B38" s="159" t="s">
        <v>49</v>
      </c>
      <c r="C38" s="154" t="s">
        <v>263</v>
      </c>
      <c r="D38" s="152">
        <f>SUM(D39:D40)</f>
        <v>7016472</v>
      </c>
      <c r="F38" s="140"/>
    </row>
    <row r="39" spans="1:6" ht="25.5">
      <c r="A39" s="153" t="s">
        <v>184</v>
      </c>
      <c r="B39" s="159" t="s">
        <v>49</v>
      </c>
      <c r="C39" s="154">
        <v>200</v>
      </c>
      <c r="D39" s="156">
        <v>108000</v>
      </c>
      <c r="F39" s="140"/>
    </row>
    <row r="40" spans="1:6" ht="12.75">
      <c r="A40" s="153" t="s">
        <v>257</v>
      </c>
      <c r="B40" s="159" t="s">
        <v>49</v>
      </c>
      <c r="C40" s="154">
        <v>300</v>
      </c>
      <c r="D40" s="156">
        <v>6908472</v>
      </c>
      <c r="F40" s="140"/>
    </row>
    <row r="41" spans="1:6" ht="12.75">
      <c r="A41" s="155" t="s">
        <v>590</v>
      </c>
      <c r="B41" s="159" t="s">
        <v>50</v>
      </c>
      <c r="C41" s="154" t="s">
        <v>263</v>
      </c>
      <c r="D41" s="152">
        <f>SUM(D42:D43)</f>
        <v>978000</v>
      </c>
      <c r="F41" s="140"/>
    </row>
    <row r="42" spans="1:6" ht="25.5">
      <c r="A42" s="153" t="s">
        <v>184</v>
      </c>
      <c r="B42" s="159" t="s">
        <v>50</v>
      </c>
      <c r="C42" s="154">
        <v>200</v>
      </c>
      <c r="D42" s="156">
        <v>19000</v>
      </c>
      <c r="F42" s="140"/>
    </row>
    <row r="43" spans="1:6" ht="12.75">
      <c r="A43" s="153" t="s">
        <v>257</v>
      </c>
      <c r="B43" s="159" t="s">
        <v>50</v>
      </c>
      <c r="C43" s="154" t="s">
        <v>256</v>
      </c>
      <c r="D43" s="156">
        <v>959000</v>
      </c>
      <c r="F43" s="140"/>
    </row>
    <row r="44" spans="1:7" ht="25.5">
      <c r="A44" s="38" t="s">
        <v>350</v>
      </c>
      <c r="B44" s="163" t="s">
        <v>354</v>
      </c>
      <c r="C44" s="151"/>
      <c r="D44" s="152">
        <f>D45</f>
        <v>140297</v>
      </c>
      <c r="E44" s="243"/>
      <c r="F44" s="140"/>
      <c r="G44" s="244"/>
    </row>
    <row r="45" spans="1:7" ht="25.5">
      <c r="A45" s="155" t="s">
        <v>618</v>
      </c>
      <c r="B45" s="159" t="s">
        <v>355</v>
      </c>
      <c r="C45" s="154" t="s">
        <v>263</v>
      </c>
      <c r="D45" s="152">
        <f>SUM(D46:D47)</f>
        <v>140297</v>
      </c>
      <c r="E45" s="245"/>
      <c r="F45" s="140"/>
      <c r="G45" s="244"/>
    </row>
    <row r="46" spans="1:7" ht="25.5">
      <c r="A46" s="153" t="s">
        <v>184</v>
      </c>
      <c r="B46" s="159" t="s">
        <v>355</v>
      </c>
      <c r="C46" s="154">
        <v>200</v>
      </c>
      <c r="D46" s="152">
        <v>2460.98</v>
      </c>
      <c r="E46" s="119"/>
      <c r="F46" s="140"/>
      <c r="G46" s="119"/>
    </row>
    <row r="47" spans="1:7" ht="12.75">
      <c r="A47" s="153" t="s">
        <v>257</v>
      </c>
      <c r="B47" s="159" t="s">
        <v>355</v>
      </c>
      <c r="C47" s="154" t="s">
        <v>256</v>
      </c>
      <c r="D47" s="156">
        <v>137836.02</v>
      </c>
      <c r="E47" s="119"/>
      <c r="F47" s="140"/>
      <c r="G47" s="119"/>
    </row>
    <row r="48" spans="1:6" s="247" customFormat="1" ht="25.5">
      <c r="A48" s="39" t="s">
        <v>454</v>
      </c>
      <c r="B48" s="163" t="s">
        <v>376</v>
      </c>
      <c r="C48" s="246"/>
      <c r="D48" s="152">
        <f>D49</f>
        <v>10000</v>
      </c>
      <c r="F48" s="140"/>
    </row>
    <row r="49" spans="1:6" s="247" customFormat="1" ht="25.5">
      <c r="A49" s="39" t="s">
        <v>378</v>
      </c>
      <c r="B49" s="159" t="s">
        <v>377</v>
      </c>
      <c r="C49" s="246"/>
      <c r="D49" s="152">
        <f>D50</f>
        <v>10000</v>
      </c>
      <c r="F49" s="140"/>
    </row>
    <row r="50" spans="1:6" s="247" customFormat="1" ht="12.75">
      <c r="A50" s="153" t="s">
        <v>257</v>
      </c>
      <c r="B50" s="159" t="s">
        <v>377</v>
      </c>
      <c r="C50" s="159">
        <v>300</v>
      </c>
      <c r="D50" s="156">
        <v>10000</v>
      </c>
      <c r="F50" s="140"/>
    </row>
    <row r="51" spans="1:7" ht="38.25">
      <c r="A51" s="41" t="s">
        <v>51</v>
      </c>
      <c r="B51" s="163" t="s">
        <v>356</v>
      </c>
      <c r="C51" s="151"/>
      <c r="D51" s="152">
        <f>D52</f>
        <v>398671</v>
      </c>
      <c r="E51" s="119"/>
      <c r="F51" s="140"/>
      <c r="G51" s="119"/>
    </row>
    <row r="52" spans="1:7" ht="25.5">
      <c r="A52" s="155" t="s">
        <v>281</v>
      </c>
      <c r="B52" s="159" t="s">
        <v>357</v>
      </c>
      <c r="C52" s="154" t="s">
        <v>263</v>
      </c>
      <c r="D52" s="152">
        <f>SUM(D53:D54)</f>
        <v>398671</v>
      </c>
      <c r="E52" s="119"/>
      <c r="F52" s="140"/>
      <c r="G52" s="119"/>
    </row>
    <row r="53" spans="1:7" ht="25.5">
      <c r="A53" s="153" t="s">
        <v>184</v>
      </c>
      <c r="B53" s="159" t="s">
        <v>357</v>
      </c>
      <c r="C53" s="154">
        <v>200</v>
      </c>
      <c r="D53" s="156">
        <v>2500</v>
      </c>
      <c r="E53" s="119"/>
      <c r="F53" s="140"/>
      <c r="G53" s="119"/>
    </row>
    <row r="54" spans="1:7" ht="12.75">
      <c r="A54" s="153" t="s">
        <v>257</v>
      </c>
      <c r="B54" s="159" t="s">
        <v>357</v>
      </c>
      <c r="C54" s="154">
        <v>300</v>
      </c>
      <c r="D54" s="156">
        <v>396171</v>
      </c>
      <c r="E54" s="119"/>
      <c r="F54" s="140"/>
      <c r="G54" s="119"/>
    </row>
    <row r="55" spans="1:7" ht="51">
      <c r="A55" s="162" t="s">
        <v>389</v>
      </c>
      <c r="B55" s="151" t="s">
        <v>128</v>
      </c>
      <c r="C55" s="151"/>
      <c r="D55" s="152">
        <f>D56+D59+D62</f>
        <v>6447763</v>
      </c>
      <c r="E55" s="119"/>
      <c r="F55" s="140"/>
      <c r="G55" s="119"/>
    </row>
    <row r="56" spans="1:7" ht="38.25">
      <c r="A56" s="39" t="s">
        <v>566</v>
      </c>
      <c r="B56" s="151" t="s">
        <v>351</v>
      </c>
      <c r="C56" s="154"/>
      <c r="D56" s="152">
        <f>D57</f>
        <v>1275422</v>
      </c>
      <c r="E56" s="119"/>
      <c r="F56" s="140"/>
      <c r="G56" s="119"/>
    </row>
    <row r="57" spans="1:7" ht="12.75">
      <c r="A57" s="38" t="s">
        <v>657</v>
      </c>
      <c r="B57" s="159" t="s">
        <v>567</v>
      </c>
      <c r="C57" s="154"/>
      <c r="D57" s="152">
        <f>D58</f>
        <v>1275422</v>
      </c>
      <c r="E57" s="119"/>
      <c r="F57" s="140"/>
      <c r="G57" s="119"/>
    </row>
    <row r="58" spans="1:7" ht="12.75">
      <c r="A58" s="153" t="s">
        <v>257</v>
      </c>
      <c r="B58" s="159" t="s">
        <v>567</v>
      </c>
      <c r="C58" s="154">
        <v>300</v>
      </c>
      <c r="D58" s="156">
        <v>1275422</v>
      </c>
      <c r="E58" s="119"/>
      <c r="F58" s="140"/>
      <c r="G58" s="119"/>
    </row>
    <row r="59" spans="1:7" ht="38.25">
      <c r="A59" s="39" t="s">
        <v>352</v>
      </c>
      <c r="B59" s="163" t="s">
        <v>568</v>
      </c>
      <c r="C59" s="154"/>
      <c r="D59" s="152">
        <f>D60</f>
        <v>4284341</v>
      </c>
      <c r="E59" s="119"/>
      <c r="F59" s="140"/>
      <c r="G59" s="119"/>
    </row>
    <row r="60" spans="1:7" ht="25.5">
      <c r="A60" s="155" t="s">
        <v>591</v>
      </c>
      <c r="B60" s="159" t="s">
        <v>569</v>
      </c>
      <c r="C60" s="154" t="s">
        <v>263</v>
      </c>
      <c r="D60" s="152">
        <f>SUM(D61:D61)</f>
        <v>4284341</v>
      </c>
      <c r="E60" s="119"/>
      <c r="F60" s="140"/>
      <c r="G60" s="119"/>
    </row>
    <row r="61" spans="1:7" ht="12.75">
      <c r="A61" s="153" t="s">
        <v>257</v>
      </c>
      <c r="B61" s="159" t="s">
        <v>569</v>
      </c>
      <c r="C61" s="154">
        <v>300</v>
      </c>
      <c r="D61" s="156">
        <v>4284341</v>
      </c>
      <c r="E61" s="119"/>
      <c r="F61" s="140"/>
      <c r="G61" s="119"/>
    </row>
    <row r="62" spans="1:7" ht="38.25">
      <c r="A62" s="153" t="s">
        <v>588</v>
      </c>
      <c r="B62" s="151" t="s">
        <v>415</v>
      </c>
      <c r="C62" s="154"/>
      <c r="D62" s="152">
        <f>D63</f>
        <v>888000</v>
      </c>
      <c r="E62" s="245"/>
      <c r="F62" s="140"/>
      <c r="G62" s="248"/>
    </row>
    <row r="63" spans="1:7" ht="38.25">
      <c r="A63" s="155" t="s">
        <v>294</v>
      </c>
      <c r="B63" s="159" t="s">
        <v>203</v>
      </c>
      <c r="C63" s="154"/>
      <c r="D63" s="152">
        <f>SUM(D64:D65)</f>
        <v>888000</v>
      </c>
      <c r="E63" s="245"/>
      <c r="F63" s="140"/>
      <c r="G63" s="248"/>
    </row>
    <row r="64" spans="1:7" ht="51">
      <c r="A64" s="153" t="s">
        <v>268</v>
      </c>
      <c r="B64" s="159" t="s">
        <v>203</v>
      </c>
      <c r="C64" s="154">
        <v>100</v>
      </c>
      <c r="D64" s="156">
        <v>791834.16</v>
      </c>
      <c r="E64" s="245"/>
      <c r="F64" s="140"/>
      <c r="G64" s="248"/>
    </row>
    <row r="65" spans="1:7" ht="25.5">
      <c r="A65" s="165" t="s">
        <v>184</v>
      </c>
      <c r="B65" s="167" t="s">
        <v>203</v>
      </c>
      <c r="C65" s="166" t="s">
        <v>250</v>
      </c>
      <c r="D65" s="168">
        <v>96165.84</v>
      </c>
      <c r="E65" s="119"/>
      <c r="F65" s="140"/>
      <c r="G65" s="119"/>
    </row>
    <row r="66" spans="1:7" ht="29.25" customHeight="1">
      <c r="A66" s="196" t="s">
        <v>557</v>
      </c>
      <c r="B66" s="242" t="s">
        <v>659</v>
      </c>
      <c r="C66" s="147" t="s">
        <v>263</v>
      </c>
      <c r="D66" s="183">
        <f>D67+D80+D111+D117</f>
        <v>241943145.91000003</v>
      </c>
      <c r="E66" s="119"/>
      <c r="F66" s="140"/>
      <c r="G66" s="119"/>
    </row>
    <row r="67" spans="1:7" ht="38.25">
      <c r="A67" s="162" t="s">
        <v>478</v>
      </c>
      <c r="B67" s="159" t="s">
        <v>318</v>
      </c>
      <c r="C67" s="154" t="s">
        <v>263</v>
      </c>
      <c r="D67" s="152">
        <f>D68+D71+D76</f>
        <v>7214363</v>
      </c>
      <c r="E67" s="119"/>
      <c r="F67" s="140"/>
      <c r="G67" s="119"/>
    </row>
    <row r="68" spans="1:7" ht="38.25">
      <c r="A68" s="38" t="s">
        <v>213</v>
      </c>
      <c r="B68" s="159" t="s">
        <v>319</v>
      </c>
      <c r="C68" s="154"/>
      <c r="D68" s="152">
        <f>D69</f>
        <v>221676</v>
      </c>
      <c r="E68" s="119"/>
      <c r="F68" s="140"/>
      <c r="G68" s="119"/>
    </row>
    <row r="69" spans="1:7" ht="38.25">
      <c r="A69" s="153" t="s">
        <v>700</v>
      </c>
      <c r="B69" s="159" t="s">
        <v>320</v>
      </c>
      <c r="C69" s="154"/>
      <c r="D69" s="152">
        <f>D70</f>
        <v>221676</v>
      </c>
      <c r="E69" s="119"/>
      <c r="F69" s="140"/>
      <c r="G69" s="119"/>
    </row>
    <row r="70" spans="1:7" ht="51">
      <c r="A70" s="153" t="s">
        <v>268</v>
      </c>
      <c r="B70" s="159" t="s">
        <v>320</v>
      </c>
      <c r="C70" s="154">
        <v>100</v>
      </c>
      <c r="D70" s="156">
        <v>221676</v>
      </c>
      <c r="E70" s="119"/>
      <c r="F70" s="140"/>
      <c r="G70" s="119"/>
    </row>
    <row r="71" spans="1:7" ht="27.75" customHeight="1">
      <c r="A71" s="43" t="s">
        <v>335</v>
      </c>
      <c r="B71" s="159" t="s">
        <v>322</v>
      </c>
      <c r="C71" s="154"/>
      <c r="D71" s="152">
        <f>D72</f>
        <v>5676951</v>
      </c>
      <c r="E71" s="119"/>
      <c r="F71" s="140"/>
      <c r="G71" s="119"/>
    </row>
    <row r="72" spans="1:7" ht="25.5">
      <c r="A72" s="155" t="s">
        <v>283</v>
      </c>
      <c r="B72" s="159" t="s">
        <v>323</v>
      </c>
      <c r="C72" s="154" t="s">
        <v>263</v>
      </c>
      <c r="D72" s="152">
        <f>SUM(D73:D75)</f>
        <v>5676951</v>
      </c>
      <c r="E72" s="119"/>
      <c r="F72" s="140"/>
      <c r="G72" s="119"/>
    </row>
    <row r="73" spans="1:7" ht="51">
      <c r="A73" s="153" t="s">
        <v>268</v>
      </c>
      <c r="B73" s="159" t="s">
        <v>323</v>
      </c>
      <c r="C73" s="154" t="s">
        <v>592</v>
      </c>
      <c r="D73" s="156">
        <f>4573735+600</f>
        <v>4574335</v>
      </c>
      <c r="E73" s="119"/>
      <c r="F73" s="140"/>
      <c r="G73" s="119"/>
    </row>
    <row r="74" spans="1:7" ht="25.5">
      <c r="A74" s="153" t="s">
        <v>184</v>
      </c>
      <c r="B74" s="159" t="s">
        <v>323</v>
      </c>
      <c r="C74" s="154" t="s">
        <v>250</v>
      </c>
      <c r="D74" s="156">
        <v>1071930</v>
      </c>
      <c r="E74" s="119"/>
      <c r="F74" s="140"/>
      <c r="G74" s="119"/>
    </row>
    <row r="75" spans="1:7" ht="12.75">
      <c r="A75" s="153" t="s">
        <v>253</v>
      </c>
      <c r="B75" s="159" t="s">
        <v>323</v>
      </c>
      <c r="C75" s="154">
        <v>800</v>
      </c>
      <c r="D75" s="156">
        <v>30686</v>
      </c>
      <c r="E75" s="119"/>
      <c r="F75" s="140"/>
      <c r="G75" s="119"/>
    </row>
    <row r="76" spans="1:7" ht="25.5">
      <c r="A76" s="155" t="s">
        <v>41</v>
      </c>
      <c r="B76" s="159" t="s">
        <v>45</v>
      </c>
      <c r="C76" s="154"/>
      <c r="D76" s="152">
        <f>D77</f>
        <v>1315736</v>
      </c>
      <c r="E76" s="119"/>
      <c r="F76" s="140"/>
      <c r="G76" s="119"/>
    </row>
    <row r="77" spans="1:7" ht="25.5">
      <c r="A77" s="155" t="s">
        <v>613</v>
      </c>
      <c r="B77" s="159" t="s">
        <v>46</v>
      </c>
      <c r="C77" s="154"/>
      <c r="D77" s="152">
        <f>SUM(D78:D79)</f>
        <v>1315736</v>
      </c>
      <c r="E77" s="119"/>
      <c r="F77" s="140"/>
      <c r="G77" s="119"/>
    </row>
    <row r="78" spans="1:7" ht="51">
      <c r="A78" s="153" t="s">
        <v>268</v>
      </c>
      <c r="B78" s="159" t="s">
        <v>46</v>
      </c>
      <c r="C78" s="154" t="s">
        <v>592</v>
      </c>
      <c r="D78" s="156">
        <v>1103899</v>
      </c>
      <c r="E78" s="119"/>
      <c r="F78" s="140"/>
      <c r="G78" s="119"/>
    </row>
    <row r="79" spans="1:6" ht="25.5">
      <c r="A79" s="153" t="s">
        <v>184</v>
      </c>
      <c r="B79" s="159" t="s">
        <v>46</v>
      </c>
      <c r="C79" s="154" t="s">
        <v>250</v>
      </c>
      <c r="D79" s="156">
        <v>211837</v>
      </c>
      <c r="F79" s="140"/>
    </row>
    <row r="80" spans="1:6" ht="38.25">
      <c r="A80" s="162" t="s">
        <v>558</v>
      </c>
      <c r="B80" s="163" t="s">
        <v>660</v>
      </c>
      <c r="C80" s="154" t="s">
        <v>263</v>
      </c>
      <c r="D80" s="152">
        <f>D81+D89+D99+D104</f>
        <v>206547496.35000002</v>
      </c>
      <c r="F80" s="140"/>
    </row>
    <row r="81" spans="1:6" ht="25.5">
      <c r="A81" s="38" t="s">
        <v>208</v>
      </c>
      <c r="B81" s="159" t="s">
        <v>661</v>
      </c>
      <c r="C81" s="154"/>
      <c r="D81" s="152">
        <f>D82+D85</f>
        <v>89046983.48</v>
      </c>
      <c r="F81" s="140"/>
    </row>
    <row r="82" spans="1:6" ht="76.5">
      <c r="A82" s="153" t="s">
        <v>307</v>
      </c>
      <c r="B82" s="159" t="s">
        <v>308</v>
      </c>
      <c r="C82" s="154" t="s">
        <v>263</v>
      </c>
      <c r="D82" s="152">
        <f>SUM(D83:D84)</f>
        <v>48099805</v>
      </c>
      <c r="F82" s="140"/>
    </row>
    <row r="83" spans="1:6" ht="51">
      <c r="A83" s="153" t="s">
        <v>268</v>
      </c>
      <c r="B83" s="159" t="s">
        <v>308</v>
      </c>
      <c r="C83" s="154" t="s">
        <v>592</v>
      </c>
      <c r="D83" s="156">
        <v>47613825</v>
      </c>
      <c r="F83" s="140"/>
    </row>
    <row r="84" spans="1:6" ht="25.5">
      <c r="A84" s="153" t="s">
        <v>184</v>
      </c>
      <c r="B84" s="159" t="s">
        <v>308</v>
      </c>
      <c r="C84" s="154" t="s">
        <v>250</v>
      </c>
      <c r="D84" s="156">
        <v>485980</v>
      </c>
      <c r="F84" s="140"/>
    </row>
    <row r="85" spans="1:6" ht="25.5">
      <c r="A85" s="155" t="s">
        <v>283</v>
      </c>
      <c r="B85" s="159" t="s">
        <v>309</v>
      </c>
      <c r="C85" s="154"/>
      <c r="D85" s="152">
        <f>SUM(D86:D88)</f>
        <v>40947178.480000004</v>
      </c>
      <c r="F85" s="140"/>
    </row>
    <row r="86" spans="1:6" ht="51">
      <c r="A86" s="153" t="s">
        <v>268</v>
      </c>
      <c r="B86" s="159" t="s">
        <v>309</v>
      </c>
      <c r="C86" s="154">
        <v>100</v>
      </c>
      <c r="D86" s="156">
        <f>14715324+1564</f>
        <v>14716888</v>
      </c>
      <c r="F86" s="140"/>
    </row>
    <row r="87" spans="1:6" ht="25.5">
      <c r="A87" s="153" t="s">
        <v>184</v>
      </c>
      <c r="B87" s="159" t="s">
        <v>309</v>
      </c>
      <c r="C87" s="154">
        <v>200</v>
      </c>
      <c r="D87" s="156">
        <v>23913890.48</v>
      </c>
      <c r="F87" s="140"/>
    </row>
    <row r="88" spans="1:6" ht="12.75">
      <c r="A88" s="153" t="s">
        <v>253</v>
      </c>
      <c r="B88" s="159" t="s">
        <v>309</v>
      </c>
      <c r="C88" s="154">
        <v>800</v>
      </c>
      <c r="D88" s="156">
        <v>2316400</v>
      </c>
      <c r="F88" s="140"/>
    </row>
    <row r="89" spans="1:6" ht="25.5">
      <c r="A89" s="38" t="s">
        <v>508</v>
      </c>
      <c r="B89" s="159" t="s">
        <v>358</v>
      </c>
      <c r="C89" s="154"/>
      <c r="D89" s="152">
        <f>D90+D93+D95+D97</f>
        <v>8214203</v>
      </c>
      <c r="F89" s="140"/>
    </row>
    <row r="90" spans="1:6" ht="12.75">
      <c r="A90" s="153" t="s">
        <v>332</v>
      </c>
      <c r="B90" s="159" t="s">
        <v>502</v>
      </c>
      <c r="C90" s="154"/>
      <c r="D90" s="152">
        <f>SUM(D91:D92)</f>
        <v>4207872</v>
      </c>
      <c r="F90" s="140"/>
    </row>
    <row r="91" spans="1:6" ht="25.5">
      <c r="A91" s="153" t="s">
        <v>184</v>
      </c>
      <c r="B91" s="159" t="s">
        <v>502</v>
      </c>
      <c r="C91" s="154">
        <v>200</v>
      </c>
      <c r="D91" s="156">
        <v>16730</v>
      </c>
      <c r="F91" s="140"/>
    </row>
    <row r="92" spans="1:7" ht="12.75">
      <c r="A92" s="153" t="s">
        <v>257</v>
      </c>
      <c r="B92" s="159" t="s">
        <v>502</v>
      </c>
      <c r="C92" s="154">
        <v>300</v>
      </c>
      <c r="D92" s="156">
        <v>4191142</v>
      </c>
      <c r="E92" s="249"/>
      <c r="F92" s="140"/>
      <c r="G92" s="244"/>
    </row>
    <row r="93" spans="1:7" ht="25.5">
      <c r="A93" s="101" t="s">
        <v>477</v>
      </c>
      <c r="B93" s="159" t="s">
        <v>171</v>
      </c>
      <c r="C93" s="154"/>
      <c r="D93" s="152">
        <v>2190481</v>
      </c>
      <c r="E93" s="249"/>
      <c r="F93" s="140"/>
      <c r="G93" s="244"/>
    </row>
    <row r="94" spans="1:7" ht="25.5">
      <c r="A94" s="153" t="s">
        <v>184</v>
      </c>
      <c r="B94" s="159" t="s">
        <v>171</v>
      </c>
      <c r="C94" s="154">
        <v>200</v>
      </c>
      <c r="D94" s="152">
        <v>2190481</v>
      </c>
      <c r="E94" s="249"/>
      <c r="F94" s="140"/>
      <c r="G94" s="244"/>
    </row>
    <row r="95" spans="1:7" ht="25.5">
      <c r="A95" s="305" t="s">
        <v>433</v>
      </c>
      <c r="B95" s="159" t="s">
        <v>432</v>
      </c>
      <c r="C95" s="154"/>
      <c r="D95" s="156">
        <f>D96</f>
        <v>1180303</v>
      </c>
      <c r="E95" s="249"/>
      <c r="F95" s="140"/>
      <c r="G95" s="244"/>
    </row>
    <row r="96" spans="1:7" ht="25.5">
      <c r="A96" s="153" t="s">
        <v>184</v>
      </c>
      <c r="B96" s="159" t="s">
        <v>432</v>
      </c>
      <c r="C96" s="154">
        <v>200</v>
      </c>
      <c r="D96" s="156">
        <v>1180303</v>
      </c>
      <c r="E96" s="249"/>
      <c r="F96" s="140"/>
      <c r="G96" s="244"/>
    </row>
    <row r="97" spans="1:7" ht="25.5">
      <c r="A97" s="33" t="s">
        <v>601</v>
      </c>
      <c r="B97" s="159" t="s">
        <v>336</v>
      </c>
      <c r="C97" s="154"/>
      <c r="D97" s="152">
        <f>D98</f>
        <v>635547</v>
      </c>
      <c r="E97" s="245"/>
      <c r="F97" s="140"/>
      <c r="G97" s="244"/>
    </row>
    <row r="98" spans="1:7" ht="25.5">
      <c r="A98" s="153" t="s">
        <v>184</v>
      </c>
      <c r="B98" s="159" t="s">
        <v>336</v>
      </c>
      <c r="C98" s="154">
        <v>200</v>
      </c>
      <c r="D98" s="156">
        <v>635547</v>
      </c>
      <c r="E98" s="245"/>
      <c r="F98" s="140"/>
      <c r="G98" s="244"/>
    </row>
    <row r="99" spans="1:6" ht="25.5">
      <c r="A99" s="38" t="s">
        <v>210</v>
      </c>
      <c r="B99" s="159" t="s">
        <v>310</v>
      </c>
      <c r="C99" s="154"/>
      <c r="D99" s="152">
        <f>D100+D102</f>
        <v>106846643.87</v>
      </c>
      <c r="F99" s="140"/>
    </row>
    <row r="100" spans="1:6" ht="78" customHeight="1">
      <c r="A100" s="153" t="s">
        <v>519</v>
      </c>
      <c r="B100" s="159" t="s">
        <v>311</v>
      </c>
      <c r="C100" s="154" t="s">
        <v>263</v>
      </c>
      <c r="D100" s="152">
        <f>D101</f>
        <v>88283012</v>
      </c>
      <c r="F100" s="140"/>
    </row>
    <row r="101" spans="1:6" ht="25.5">
      <c r="A101" s="153" t="s">
        <v>266</v>
      </c>
      <c r="B101" s="159" t="s">
        <v>311</v>
      </c>
      <c r="C101" s="154">
        <v>600</v>
      </c>
      <c r="D101" s="156">
        <v>88283012</v>
      </c>
      <c r="F101" s="140"/>
    </row>
    <row r="102" spans="1:6" ht="25.5">
      <c r="A102" s="155" t="s">
        <v>283</v>
      </c>
      <c r="B102" s="159" t="s">
        <v>312</v>
      </c>
      <c r="C102" s="154"/>
      <c r="D102" s="152">
        <f>D103</f>
        <v>18563631.87</v>
      </c>
      <c r="F102" s="140"/>
    </row>
    <row r="103" spans="1:6" ht="25.5">
      <c r="A103" s="153" t="s">
        <v>266</v>
      </c>
      <c r="B103" s="159" t="s">
        <v>312</v>
      </c>
      <c r="C103" s="154">
        <v>600</v>
      </c>
      <c r="D103" s="156">
        <f>18563098+533.87</f>
        <v>18563631.87</v>
      </c>
      <c r="F103" s="140"/>
    </row>
    <row r="104" spans="1:6" ht="12.75">
      <c r="A104" s="38" t="s">
        <v>211</v>
      </c>
      <c r="B104" s="163" t="s">
        <v>313</v>
      </c>
      <c r="C104" s="154"/>
      <c r="D104" s="152">
        <f>D105+D107+D109</f>
        <v>2439666</v>
      </c>
      <c r="F104" s="140"/>
    </row>
    <row r="105" spans="1:6" ht="51">
      <c r="A105" s="109" t="s">
        <v>434</v>
      </c>
      <c r="B105" s="30" t="s">
        <v>435</v>
      </c>
      <c r="C105" s="15"/>
      <c r="D105" s="152">
        <v>223284</v>
      </c>
      <c r="F105" s="140"/>
    </row>
    <row r="106" spans="1:6" ht="25.5">
      <c r="A106" s="35" t="s">
        <v>266</v>
      </c>
      <c r="B106" s="30" t="s">
        <v>435</v>
      </c>
      <c r="C106" s="15">
        <v>600</v>
      </c>
      <c r="D106" s="152">
        <v>223284</v>
      </c>
      <c r="F106" s="140"/>
    </row>
    <row r="107" spans="1:6" ht="51">
      <c r="A107" s="33" t="s">
        <v>544</v>
      </c>
      <c r="B107" s="175" t="s">
        <v>314</v>
      </c>
      <c r="C107" s="173"/>
      <c r="D107" s="184">
        <f>D108</f>
        <v>2189382</v>
      </c>
      <c r="F107" s="140"/>
    </row>
    <row r="108" spans="1:6" ht="25.5">
      <c r="A108" s="169" t="s">
        <v>266</v>
      </c>
      <c r="B108" s="175" t="s">
        <v>314</v>
      </c>
      <c r="C108" s="173">
        <v>600</v>
      </c>
      <c r="D108" s="185">
        <v>2189382</v>
      </c>
      <c r="F108" s="140"/>
    </row>
    <row r="109" spans="1:6" ht="12.75">
      <c r="A109" s="31" t="s">
        <v>117</v>
      </c>
      <c r="B109" s="159" t="s">
        <v>233</v>
      </c>
      <c r="C109" s="154"/>
      <c r="D109" s="184">
        <f>D110</f>
        <v>27000</v>
      </c>
      <c r="F109" s="140"/>
    </row>
    <row r="110" spans="1:6" ht="25.5">
      <c r="A110" s="153" t="s">
        <v>266</v>
      </c>
      <c r="B110" s="159" t="s">
        <v>233</v>
      </c>
      <c r="C110" s="154">
        <v>300</v>
      </c>
      <c r="D110" s="185">
        <v>27000</v>
      </c>
      <c r="F110" s="140"/>
    </row>
    <row r="111" spans="1:7" ht="38.25">
      <c r="A111" s="162" t="s">
        <v>126</v>
      </c>
      <c r="B111" s="163" t="s">
        <v>315</v>
      </c>
      <c r="C111" s="154" t="s">
        <v>263</v>
      </c>
      <c r="D111" s="152">
        <f>D112</f>
        <v>25281286.56</v>
      </c>
      <c r="E111" s="119"/>
      <c r="F111" s="140"/>
      <c r="G111" s="119"/>
    </row>
    <row r="112" spans="1:7" ht="25.5">
      <c r="A112" s="38" t="s">
        <v>212</v>
      </c>
      <c r="B112" s="159" t="s">
        <v>316</v>
      </c>
      <c r="C112" s="154"/>
      <c r="D112" s="152">
        <f>D113</f>
        <v>25281286.56</v>
      </c>
      <c r="E112" s="119"/>
      <c r="F112" s="140"/>
      <c r="G112" s="119"/>
    </row>
    <row r="113" spans="1:7" ht="25.5">
      <c r="A113" s="155" t="s">
        <v>283</v>
      </c>
      <c r="B113" s="159" t="s">
        <v>317</v>
      </c>
      <c r="C113" s="154" t="s">
        <v>263</v>
      </c>
      <c r="D113" s="152">
        <f>SUM(D114:D116)</f>
        <v>25281286.56</v>
      </c>
      <c r="E113" s="119"/>
      <c r="F113" s="140"/>
      <c r="G113" s="119"/>
    </row>
    <row r="114" spans="1:7" ht="51">
      <c r="A114" s="153" t="s">
        <v>268</v>
      </c>
      <c r="B114" s="159" t="s">
        <v>317</v>
      </c>
      <c r="C114" s="154">
        <v>100</v>
      </c>
      <c r="D114" s="156">
        <v>23184531</v>
      </c>
      <c r="E114" s="119"/>
      <c r="F114" s="140"/>
      <c r="G114" s="119"/>
    </row>
    <row r="115" spans="1:7" ht="25.5">
      <c r="A115" s="153" t="s">
        <v>184</v>
      </c>
      <c r="B115" s="159" t="s">
        <v>317</v>
      </c>
      <c r="C115" s="154">
        <v>200</v>
      </c>
      <c r="D115" s="156">
        <v>1475297.56</v>
      </c>
      <c r="E115" s="119"/>
      <c r="F115" s="140"/>
      <c r="G115" s="119"/>
    </row>
    <row r="116" spans="1:7" ht="12.75">
      <c r="A116" s="210" t="s">
        <v>253</v>
      </c>
      <c r="B116" s="212" t="s">
        <v>317</v>
      </c>
      <c r="C116" s="211">
        <v>800</v>
      </c>
      <c r="D116" s="213">
        <v>621458</v>
      </c>
      <c r="E116" s="119"/>
      <c r="F116" s="140"/>
      <c r="G116" s="119"/>
    </row>
    <row r="117" spans="1:7" ht="51">
      <c r="A117" s="13" t="s">
        <v>92</v>
      </c>
      <c r="B117" s="17" t="s">
        <v>93</v>
      </c>
      <c r="C117" s="37"/>
      <c r="D117" s="322">
        <v>2900000</v>
      </c>
      <c r="E117" s="119"/>
      <c r="F117" s="140"/>
      <c r="G117" s="119"/>
    </row>
    <row r="118" spans="1:7" ht="38.25">
      <c r="A118" s="323" t="s">
        <v>94</v>
      </c>
      <c r="B118" s="17" t="s">
        <v>95</v>
      </c>
      <c r="C118" s="37"/>
      <c r="D118" s="322">
        <v>2900000</v>
      </c>
      <c r="E118" s="119"/>
      <c r="F118" s="140"/>
      <c r="G118" s="119"/>
    </row>
    <row r="119" spans="1:7" ht="38.25">
      <c r="A119" s="109" t="s">
        <v>96</v>
      </c>
      <c r="B119" s="17" t="s">
        <v>97</v>
      </c>
      <c r="C119" s="37"/>
      <c r="D119" s="322">
        <v>2900000</v>
      </c>
      <c r="E119" s="119"/>
      <c r="F119" s="140"/>
      <c r="G119" s="119"/>
    </row>
    <row r="120" spans="1:7" ht="25.5">
      <c r="A120" s="35" t="s">
        <v>98</v>
      </c>
      <c r="B120" s="17" t="s">
        <v>97</v>
      </c>
      <c r="C120" s="37">
        <v>400</v>
      </c>
      <c r="D120" s="322">
        <v>2900000</v>
      </c>
      <c r="E120" s="119"/>
      <c r="F120" s="140"/>
      <c r="G120" s="119"/>
    </row>
    <row r="121" spans="1:7" ht="38.25">
      <c r="A121" s="250" t="s">
        <v>178</v>
      </c>
      <c r="B121" s="251" t="s">
        <v>129</v>
      </c>
      <c r="C121" s="252" t="s">
        <v>263</v>
      </c>
      <c r="D121" s="253">
        <f>D122</f>
        <v>2242430</v>
      </c>
      <c r="E121" s="119"/>
      <c r="F121" s="140"/>
      <c r="G121" s="119"/>
    </row>
    <row r="122" spans="1:7" ht="63.75">
      <c r="A122" s="254" t="s">
        <v>474</v>
      </c>
      <c r="B122" s="255" t="s">
        <v>130</v>
      </c>
      <c r="C122" s="256" t="s">
        <v>263</v>
      </c>
      <c r="D122" s="257">
        <f>D123</f>
        <v>2242430</v>
      </c>
      <c r="E122" s="119"/>
      <c r="F122" s="140"/>
      <c r="G122" s="119"/>
    </row>
    <row r="123" spans="1:7" ht="38.25">
      <c r="A123" s="68" t="s">
        <v>158</v>
      </c>
      <c r="B123" s="255" t="s">
        <v>131</v>
      </c>
      <c r="C123" s="256"/>
      <c r="D123" s="257">
        <f>D124</f>
        <v>2242430</v>
      </c>
      <c r="E123" s="119"/>
      <c r="F123" s="140"/>
      <c r="G123" s="119"/>
    </row>
    <row r="124" spans="1:7" ht="12.75">
      <c r="A124" s="258" t="s">
        <v>295</v>
      </c>
      <c r="B124" s="255" t="s">
        <v>132</v>
      </c>
      <c r="C124" s="256" t="s">
        <v>263</v>
      </c>
      <c r="D124" s="257">
        <f>SUM(D125:D127)</f>
        <v>2242430</v>
      </c>
      <c r="E124" s="119"/>
      <c r="F124" s="140"/>
      <c r="G124" s="119"/>
    </row>
    <row r="125" spans="1:7" ht="25.5">
      <c r="A125" s="259" t="s">
        <v>184</v>
      </c>
      <c r="B125" s="255" t="s">
        <v>132</v>
      </c>
      <c r="C125" s="260" t="s">
        <v>250</v>
      </c>
      <c r="D125" s="261">
        <v>1825083</v>
      </c>
      <c r="E125" s="119"/>
      <c r="F125" s="140"/>
      <c r="G125" s="119"/>
    </row>
    <row r="126" spans="1:7" ht="25.5">
      <c r="A126" s="109" t="s">
        <v>546</v>
      </c>
      <c r="B126" s="255" t="s">
        <v>132</v>
      </c>
      <c r="C126" s="318">
        <v>400</v>
      </c>
      <c r="D126" s="319">
        <v>311000</v>
      </c>
      <c r="E126" s="119"/>
      <c r="F126" s="140"/>
      <c r="G126" s="119"/>
    </row>
    <row r="127" spans="1:6" ht="12.75">
      <c r="A127" s="262" t="s">
        <v>253</v>
      </c>
      <c r="B127" s="263" t="s">
        <v>132</v>
      </c>
      <c r="C127" s="264">
        <v>800</v>
      </c>
      <c r="D127" s="265">
        <v>106347</v>
      </c>
      <c r="F127" s="140"/>
    </row>
    <row r="128" spans="1:6" ht="51">
      <c r="A128" s="250" t="s">
        <v>182</v>
      </c>
      <c r="B128" s="251" t="s">
        <v>154</v>
      </c>
      <c r="C128" s="252"/>
      <c r="D128" s="253">
        <f>D129+D145</f>
        <v>18490881</v>
      </c>
      <c r="F128" s="140"/>
    </row>
    <row r="129" spans="1:6" ht="63.75">
      <c r="A129" s="266" t="s">
        <v>183</v>
      </c>
      <c r="B129" s="267" t="s">
        <v>658</v>
      </c>
      <c r="C129" s="268"/>
      <c r="D129" s="257">
        <f>D130+D133+D137+D140</f>
        <v>17876712.9</v>
      </c>
      <c r="F129" s="140"/>
    </row>
    <row r="130" spans="1:7" ht="25.5">
      <c r="A130" s="69" t="s">
        <v>190</v>
      </c>
      <c r="B130" s="255" t="s">
        <v>227</v>
      </c>
      <c r="C130" s="268"/>
      <c r="D130" s="257">
        <f>D131</f>
        <v>853069</v>
      </c>
      <c r="E130" s="243"/>
      <c r="F130" s="140"/>
      <c r="G130" s="244"/>
    </row>
    <row r="131" spans="1:7" ht="24">
      <c r="A131" s="70" t="s">
        <v>226</v>
      </c>
      <c r="B131" s="255" t="s">
        <v>225</v>
      </c>
      <c r="C131" s="268"/>
      <c r="D131" s="257">
        <f>SUM(D132:D132)</f>
        <v>853069</v>
      </c>
      <c r="E131" s="245"/>
      <c r="F131" s="140"/>
      <c r="G131" s="244"/>
    </row>
    <row r="132" spans="1:7" ht="25.5">
      <c r="A132" s="259" t="s">
        <v>184</v>
      </c>
      <c r="B132" s="255" t="s">
        <v>225</v>
      </c>
      <c r="C132" s="260">
        <v>200</v>
      </c>
      <c r="D132" s="261">
        <v>853069</v>
      </c>
      <c r="E132" s="245"/>
      <c r="F132" s="140"/>
      <c r="G132" s="244"/>
    </row>
    <row r="133" spans="1:6" ht="25.5">
      <c r="A133" s="69" t="s">
        <v>622</v>
      </c>
      <c r="B133" s="255" t="s">
        <v>206</v>
      </c>
      <c r="C133" s="260"/>
      <c r="D133" s="257">
        <f>D134</f>
        <v>10799878.9</v>
      </c>
      <c r="F133" s="140"/>
    </row>
    <row r="134" spans="1:6" ht="12.75">
      <c r="A134" s="71" t="s">
        <v>614</v>
      </c>
      <c r="B134" s="255" t="s">
        <v>207</v>
      </c>
      <c r="C134" s="260" t="s">
        <v>263</v>
      </c>
      <c r="D134" s="257">
        <f>SUM(D135:D136)</f>
        <v>10799878.9</v>
      </c>
      <c r="F134" s="140"/>
    </row>
    <row r="135" spans="1:6" ht="25.5">
      <c r="A135" s="259" t="s">
        <v>184</v>
      </c>
      <c r="B135" s="255" t="s">
        <v>207</v>
      </c>
      <c r="C135" s="260">
        <v>200</v>
      </c>
      <c r="D135" s="261">
        <v>2028932.9</v>
      </c>
      <c r="F135" s="140"/>
    </row>
    <row r="136" spans="1:6" ht="12.75">
      <c r="A136" s="259" t="s">
        <v>253</v>
      </c>
      <c r="B136" s="255" t="s">
        <v>207</v>
      </c>
      <c r="C136" s="260">
        <v>800</v>
      </c>
      <c r="D136" s="261">
        <v>8770946</v>
      </c>
      <c r="F136" s="140"/>
    </row>
    <row r="137" spans="1:7" ht="25.5">
      <c r="A137" s="69" t="s">
        <v>620</v>
      </c>
      <c r="B137" s="255" t="s">
        <v>624</v>
      </c>
      <c r="C137" s="268"/>
      <c r="D137" s="257">
        <f>D138</f>
        <v>1223765</v>
      </c>
      <c r="E137" s="269"/>
      <c r="F137" s="140"/>
      <c r="G137" s="248"/>
    </row>
    <row r="138" spans="1:7" ht="12.75">
      <c r="A138" s="259" t="s">
        <v>169</v>
      </c>
      <c r="B138" s="255" t="s">
        <v>623</v>
      </c>
      <c r="C138" s="268"/>
      <c r="D138" s="257">
        <f>D139</f>
        <v>1223765</v>
      </c>
      <c r="E138" s="270"/>
      <c r="F138" s="140"/>
      <c r="G138" s="244"/>
    </row>
    <row r="139" spans="1:7" ht="25.5">
      <c r="A139" s="262" t="s">
        <v>184</v>
      </c>
      <c r="B139" s="263" t="s">
        <v>623</v>
      </c>
      <c r="C139" s="264">
        <v>200</v>
      </c>
      <c r="D139" s="265">
        <f>1164000+59765</f>
        <v>1223765</v>
      </c>
      <c r="E139" s="269"/>
      <c r="F139" s="140"/>
      <c r="G139" s="244"/>
    </row>
    <row r="140" spans="1:7" ht="25.5">
      <c r="A140" s="34" t="s">
        <v>548</v>
      </c>
      <c r="B140" s="159" t="s">
        <v>547</v>
      </c>
      <c r="C140" s="154"/>
      <c r="D140" s="156">
        <v>5000000</v>
      </c>
      <c r="E140" s="269"/>
      <c r="F140" s="140"/>
      <c r="G140" s="244"/>
    </row>
    <row r="141" spans="1:7" ht="12.75">
      <c r="A141" s="112" t="s">
        <v>549</v>
      </c>
      <c r="B141" s="159" t="s">
        <v>550</v>
      </c>
      <c r="C141" s="154"/>
      <c r="D141" s="156">
        <v>4950000</v>
      </c>
      <c r="E141" s="269"/>
      <c r="F141" s="140"/>
      <c r="G141" s="244"/>
    </row>
    <row r="142" spans="1:7" ht="25.5">
      <c r="A142" s="153" t="s">
        <v>184</v>
      </c>
      <c r="B142" s="159" t="s">
        <v>550</v>
      </c>
      <c r="C142" s="154">
        <v>200</v>
      </c>
      <c r="D142" s="156">
        <v>4950000</v>
      </c>
      <c r="E142" s="269"/>
      <c r="F142" s="140"/>
      <c r="G142" s="244"/>
    </row>
    <row r="143" spans="1:7" ht="25.5">
      <c r="A143" s="109" t="s">
        <v>551</v>
      </c>
      <c r="B143" s="159" t="s">
        <v>552</v>
      </c>
      <c r="C143" s="154"/>
      <c r="D143" s="156">
        <v>50000</v>
      </c>
      <c r="E143" s="269"/>
      <c r="F143" s="140"/>
      <c r="G143" s="244"/>
    </row>
    <row r="144" spans="1:7" ht="25.5">
      <c r="A144" s="153" t="s">
        <v>184</v>
      </c>
      <c r="B144" s="159" t="s">
        <v>552</v>
      </c>
      <c r="C144" s="154">
        <v>200</v>
      </c>
      <c r="D144" s="156">
        <v>50000</v>
      </c>
      <c r="E144" s="269"/>
      <c r="F144" s="140"/>
      <c r="G144" s="244"/>
    </row>
    <row r="145" spans="1:7" ht="38.25">
      <c r="A145" s="162" t="s">
        <v>25</v>
      </c>
      <c r="B145" s="163" t="s">
        <v>22</v>
      </c>
      <c r="C145" s="206"/>
      <c r="D145" s="178">
        <v>614168.1</v>
      </c>
      <c r="E145" s="269"/>
      <c r="F145" s="140"/>
      <c r="G145" s="244"/>
    </row>
    <row r="146" spans="1:7" ht="25.5">
      <c r="A146" s="34" t="s">
        <v>23</v>
      </c>
      <c r="B146" s="159" t="s">
        <v>24</v>
      </c>
      <c r="C146" s="206"/>
      <c r="D146" s="178">
        <v>614168.1</v>
      </c>
      <c r="E146" s="269"/>
      <c r="F146" s="140"/>
      <c r="G146" s="244"/>
    </row>
    <row r="147" spans="1:7" ht="25.5">
      <c r="A147" s="153" t="s">
        <v>184</v>
      </c>
      <c r="B147" s="159" t="s">
        <v>24</v>
      </c>
      <c r="C147" s="206">
        <v>200</v>
      </c>
      <c r="D147" s="178">
        <v>614168.1</v>
      </c>
      <c r="E147" s="269"/>
      <c r="F147" s="140"/>
      <c r="G147" s="244"/>
    </row>
    <row r="148" spans="1:6" ht="38.25">
      <c r="A148" s="271" t="s">
        <v>450</v>
      </c>
      <c r="B148" s="272" t="s">
        <v>449</v>
      </c>
      <c r="C148" s="273" t="s">
        <v>263</v>
      </c>
      <c r="D148" s="274">
        <f>D149+D162</f>
        <v>1502654</v>
      </c>
      <c r="F148" s="140"/>
    </row>
    <row r="149" spans="1:6" ht="63.75" customHeight="1">
      <c r="A149" s="162" t="s">
        <v>621</v>
      </c>
      <c r="B149" s="163" t="s">
        <v>306</v>
      </c>
      <c r="C149" s="154" t="s">
        <v>263</v>
      </c>
      <c r="D149" s="152">
        <f>D150+D153+D159</f>
        <v>1427654</v>
      </c>
      <c r="F149" s="140"/>
    </row>
    <row r="150" spans="1:6" ht="25.5">
      <c r="A150" s="43" t="s">
        <v>305</v>
      </c>
      <c r="B150" s="159" t="s">
        <v>304</v>
      </c>
      <c r="C150" s="154"/>
      <c r="D150" s="152">
        <f>D151+D156</f>
        <v>905870</v>
      </c>
      <c r="F150" s="140"/>
    </row>
    <row r="151" spans="1:6" ht="12.75">
      <c r="A151" s="43" t="s">
        <v>303</v>
      </c>
      <c r="B151" s="159" t="s">
        <v>302</v>
      </c>
      <c r="C151" s="154"/>
      <c r="D151" s="152">
        <f>D152</f>
        <v>10000</v>
      </c>
      <c r="F151" s="140"/>
    </row>
    <row r="152" spans="1:6" ht="25.5">
      <c r="A152" s="153" t="s">
        <v>266</v>
      </c>
      <c r="B152" s="159" t="s">
        <v>302</v>
      </c>
      <c r="C152" s="154">
        <v>600</v>
      </c>
      <c r="D152" s="156">
        <v>10000</v>
      </c>
      <c r="F152" s="140"/>
    </row>
    <row r="153" spans="1:6" ht="12.75">
      <c r="A153" s="305" t="s">
        <v>436</v>
      </c>
      <c r="B153" s="17" t="s">
        <v>437</v>
      </c>
      <c r="C153" s="16"/>
      <c r="D153" s="156">
        <f>D154+D155</f>
        <v>500219</v>
      </c>
      <c r="F153" s="140"/>
    </row>
    <row r="154" spans="1:6" ht="12.75">
      <c r="A154" s="14" t="s">
        <v>257</v>
      </c>
      <c r="B154" s="17" t="s">
        <v>437</v>
      </c>
      <c r="C154" s="16">
        <v>300</v>
      </c>
      <c r="D154" s="156">
        <v>281983</v>
      </c>
      <c r="F154" s="140"/>
    </row>
    <row r="155" spans="1:6" ht="25.5">
      <c r="A155" s="14" t="s">
        <v>266</v>
      </c>
      <c r="B155" s="17" t="s">
        <v>437</v>
      </c>
      <c r="C155" s="16">
        <v>600</v>
      </c>
      <c r="D155" s="156">
        <v>218236</v>
      </c>
      <c r="F155" s="140"/>
    </row>
    <row r="156" spans="1:6" ht="25.5">
      <c r="A156" s="33" t="s">
        <v>284</v>
      </c>
      <c r="B156" s="159" t="s">
        <v>285</v>
      </c>
      <c r="C156" s="155"/>
      <c r="D156" s="152">
        <f>D157+D158</f>
        <v>895870</v>
      </c>
      <c r="F156" s="140"/>
    </row>
    <row r="157" spans="1:6" ht="12.75">
      <c r="A157" s="153" t="s">
        <v>257</v>
      </c>
      <c r="B157" s="159" t="s">
        <v>285</v>
      </c>
      <c r="C157" s="155">
        <v>300</v>
      </c>
      <c r="D157" s="156">
        <v>489326</v>
      </c>
      <c r="F157" s="140"/>
    </row>
    <row r="158" spans="1:6" ht="25.5">
      <c r="A158" s="153" t="s">
        <v>266</v>
      </c>
      <c r="B158" s="159" t="s">
        <v>285</v>
      </c>
      <c r="C158" s="155">
        <v>600</v>
      </c>
      <c r="D158" s="156">
        <v>406544</v>
      </c>
      <c r="F158" s="140"/>
    </row>
    <row r="159" spans="1:6" ht="38.25">
      <c r="A159" s="43" t="s">
        <v>561</v>
      </c>
      <c r="B159" s="159" t="s">
        <v>562</v>
      </c>
      <c r="C159" s="154"/>
      <c r="D159" s="152">
        <f>D160</f>
        <v>21565</v>
      </c>
      <c r="F159" s="140"/>
    </row>
    <row r="160" spans="1:6" ht="12.75">
      <c r="A160" s="43" t="s">
        <v>564</v>
      </c>
      <c r="B160" s="159" t="s">
        <v>563</v>
      </c>
      <c r="C160" s="154"/>
      <c r="D160" s="152">
        <f>D161</f>
        <v>21565</v>
      </c>
      <c r="F160" s="140"/>
    </row>
    <row r="161" spans="1:6" ht="25.5">
      <c r="A161" s="153" t="s">
        <v>184</v>
      </c>
      <c r="B161" s="159" t="s">
        <v>563</v>
      </c>
      <c r="C161" s="154">
        <v>200</v>
      </c>
      <c r="D161" s="156">
        <v>21565</v>
      </c>
      <c r="F161" s="140"/>
    </row>
    <row r="162" spans="1:7" ht="63.75">
      <c r="A162" s="162" t="s">
        <v>448</v>
      </c>
      <c r="B162" s="159" t="s">
        <v>507</v>
      </c>
      <c r="C162" s="157" t="s">
        <v>263</v>
      </c>
      <c r="D162" s="152">
        <f>D163</f>
        <v>75000</v>
      </c>
      <c r="E162" s="275"/>
      <c r="F162" s="140"/>
      <c r="G162" s="276"/>
    </row>
    <row r="163" spans="1:6" ht="51">
      <c r="A163" s="43" t="s">
        <v>506</v>
      </c>
      <c r="B163" s="159" t="s">
        <v>505</v>
      </c>
      <c r="C163" s="157"/>
      <c r="D163" s="152">
        <f>D164</f>
        <v>75000</v>
      </c>
      <c r="F163" s="140"/>
    </row>
    <row r="164" spans="1:6" ht="39" customHeight="1">
      <c r="A164" s="43" t="s">
        <v>504</v>
      </c>
      <c r="B164" s="159" t="s">
        <v>503</v>
      </c>
      <c r="C164" s="157"/>
      <c r="D164" s="152">
        <f>D165</f>
        <v>75000</v>
      </c>
      <c r="F164" s="140"/>
    </row>
    <row r="165" spans="1:6" ht="25.5">
      <c r="A165" s="210" t="s">
        <v>184</v>
      </c>
      <c r="B165" s="212" t="s">
        <v>503</v>
      </c>
      <c r="C165" s="211">
        <v>200</v>
      </c>
      <c r="D165" s="213">
        <v>75000</v>
      </c>
      <c r="F165" s="140"/>
    </row>
    <row r="166" spans="1:7" ht="51">
      <c r="A166" s="205" t="s">
        <v>181</v>
      </c>
      <c r="B166" s="277" t="s">
        <v>151</v>
      </c>
      <c r="C166" s="278" t="s">
        <v>263</v>
      </c>
      <c r="D166" s="279">
        <f>D167+D178</f>
        <v>7412475.0600000005</v>
      </c>
      <c r="E166" s="269"/>
      <c r="F166" s="140"/>
      <c r="G166" s="280"/>
    </row>
    <row r="167" spans="1:7" ht="63.75">
      <c r="A167" s="162" t="s">
        <v>625</v>
      </c>
      <c r="B167" s="163" t="s">
        <v>189</v>
      </c>
      <c r="C167" s="157" t="s">
        <v>263</v>
      </c>
      <c r="D167" s="152">
        <f>D168+D171</f>
        <v>6254882</v>
      </c>
      <c r="E167" s="243"/>
      <c r="F167" s="140"/>
      <c r="G167" s="244"/>
    </row>
    <row r="168" spans="1:6" ht="25.5">
      <c r="A168" s="39" t="s">
        <v>188</v>
      </c>
      <c r="B168" s="159" t="s">
        <v>187</v>
      </c>
      <c r="C168" s="157"/>
      <c r="D168" s="152">
        <f>D169</f>
        <v>1488252</v>
      </c>
      <c r="F168" s="140"/>
    </row>
    <row r="169" spans="1:6" ht="25.5">
      <c r="A169" s="43" t="s">
        <v>153</v>
      </c>
      <c r="B169" s="159" t="s">
        <v>186</v>
      </c>
      <c r="C169" s="157"/>
      <c r="D169" s="152">
        <f>D170</f>
        <v>1488252</v>
      </c>
      <c r="F169" s="140"/>
    </row>
    <row r="170" spans="1:6" ht="12.75">
      <c r="A170" s="153" t="s">
        <v>253</v>
      </c>
      <c r="B170" s="159" t="s">
        <v>186</v>
      </c>
      <c r="C170" s="154">
        <v>800</v>
      </c>
      <c r="D170" s="156">
        <v>1488252</v>
      </c>
      <c r="F170" s="140"/>
    </row>
    <row r="171" spans="1:6" ht="25.5">
      <c r="A171" s="39" t="s">
        <v>185</v>
      </c>
      <c r="B171" s="159" t="s">
        <v>509</v>
      </c>
      <c r="C171" s="157"/>
      <c r="D171" s="152">
        <f>D172+D174+D176</f>
        <v>4766630</v>
      </c>
      <c r="F171" s="140"/>
    </row>
    <row r="172" spans="1:6" ht="38.25">
      <c r="A172" s="305" t="s">
        <v>242</v>
      </c>
      <c r="B172" s="159" t="s">
        <v>554</v>
      </c>
      <c r="C172" s="164"/>
      <c r="D172" s="152">
        <v>4449640</v>
      </c>
      <c r="F172" s="140"/>
    </row>
    <row r="173" spans="1:6" ht="25.5">
      <c r="A173" s="153" t="s">
        <v>184</v>
      </c>
      <c r="B173" s="159" t="s">
        <v>554</v>
      </c>
      <c r="C173" s="312">
        <v>200</v>
      </c>
      <c r="D173" s="152">
        <v>4449640</v>
      </c>
      <c r="F173" s="140"/>
    </row>
    <row r="174" spans="1:6" ht="38.25">
      <c r="A174" s="305" t="s">
        <v>242</v>
      </c>
      <c r="B174" s="159" t="s">
        <v>241</v>
      </c>
      <c r="C174" s="164"/>
      <c r="D174" s="152">
        <v>44950</v>
      </c>
      <c r="F174" s="140"/>
    </row>
    <row r="175" spans="1:6" ht="25.5">
      <c r="A175" s="153" t="s">
        <v>184</v>
      </c>
      <c r="B175" s="159" t="s">
        <v>241</v>
      </c>
      <c r="C175" s="312">
        <v>200</v>
      </c>
      <c r="D175" s="152">
        <v>44950</v>
      </c>
      <c r="F175" s="140"/>
    </row>
    <row r="176" spans="1:6" ht="25.5">
      <c r="A176" s="43" t="s">
        <v>153</v>
      </c>
      <c r="B176" s="159" t="s">
        <v>192</v>
      </c>
      <c r="C176" s="154" t="s">
        <v>263</v>
      </c>
      <c r="D176" s="152">
        <f>D177</f>
        <v>272040</v>
      </c>
      <c r="F176" s="140"/>
    </row>
    <row r="177" spans="1:6" ht="25.5">
      <c r="A177" s="153" t="s">
        <v>184</v>
      </c>
      <c r="B177" s="159" t="s">
        <v>192</v>
      </c>
      <c r="C177" s="154">
        <v>200</v>
      </c>
      <c r="D177" s="156">
        <v>272040</v>
      </c>
      <c r="F177" s="140"/>
    </row>
    <row r="178" spans="1:6" ht="63.75">
      <c r="A178" s="162" t="s">
        <v>193</v>
      </c>
      <c r="B178" s="163" t="s">
        <v>152</v>
      </c>
      <c r="C178" s="154"/>
      <c r="D178" s="152">
        <f>D179</f>
        <v>1157593.06</v>
      </c>
      <c r="F178" s="140"/>
    </row>
    <row r="179" spans="1:6" ht="51">
      <c r="A179" s="39" t="s">
        <v>673</v>
      </c>
      <c r="B179" s="159" t="s">
        <v>194</v>
      </c>
      <c r="C179" s="154"/>
      <c r="D179" s="152">
        <f>D180+D182</f>
        <v>1157593.06</v>
      </c>
      <c r="F179" s="140"/>
    </row>
    <row r="180" spans="1:6" ht="25.5">
      <c r="A180" s="43" t="s">
        <v>597</v>
      </c>
      <c r="B180" s="159" t="s">
        <v>596</v>
      </c>
      <c r="C180" s="154"/>
      <c r="D180" s="152">
        <f>D181</f>
        <v>934593.06</v>
      </c>
      <c r="F180" s="140"/>
    </row>
    <row r="181" spans="1:6" ht="12.75">
      <c r="A181" s="165" t="s">
        <v>253</v>
      </c>
      <c r="B181" s="167" t="s">
        <v>596</v>
      </c>
      <c r="C181" s="166">
        <v>800</v>
      </c>
      <c r="D181" s="168">
        <v>934593.06</v>
      </c>
      <c r="F181" s="140"/>
    </row>
    <row r="182" spans="1:6" ht="12.75">
      <c r="A182" s="153" t="s">
        <v>672</v>
      </c>
      <c r="B182" s="175" t="s">
        <v>671</v>
      </c>
      <c r="C182" s="166"/>
      <c r="D182" s="168">
        <v>223000</v>
      </c>
      <c r="F182" s="140"/>
    </row>
    <row r="183" spans="1:6" ht="25.5">
      <c r="A183" s="153" t="s">
        <v>184</v>
      </c>
      <c r="B183" s="175" t="s">
        <v>671</v>
      </c>
      <c r="C183" s="166">
        <v>200</v>
      </c>
      <c r="D183" s="170">
        <v>223000</v>
      </c>
      <c r="F183" s="140"/>
    </row>
    <row r="184" spans="1:6" ht="51">
      <c r="A184" s="196" t="s">
        <v>545</v>
      </c>
      <c r="B184" s="147" t="s">
        <v>133</v>
      </c>
      <c r="C184" s="147"/>
      <c r="D184" s="183">
        <f>D185</f>
        <v>466000</v>
      </c>
      <c r="F184" s="140"/>
    </row>
    <row r="185" spans="1:6" ht="63.75">
      <c r="A185" s="162" t="s">
        <v>555</v>
      </c>
      <c r="B185" s="154" t="s">
        <v>134</v>
      </c>
      <c r="C185" s="154"/>
      <c r="D185" s="152">
        <f>D186+D192</f>
        <v>466000</v>
      </c>
      <c r="F185" s="140"/>
    </row>
    <row r="186" spans="1:6" ht="25.5">
      <c r="A186" s="153" t="s">
        <v>15</v>
      </c>
      <c r="B186" s="154" t="s">
        <v>541</v>
      </c>
      <c r="C186" s="154"/>
      <c r="D186" s="152">
        <f>D187+D190</f>
        <v>446000</v>
      </c>
      <c r="F186" s="140"/>
    </row>
    <row r="187" spans="1:6" ht="38.25">
      <c r="A187" s="153" t="s">
        <v>540</v>
      </c>
      <c r="B187" s="154" t="s">
        <v>204</v>
      </c>
      <c r="C187" s="154"/>
      <c r="D187" s="152">
        <f>SUM(D188:D189)</f>
        <v>296000</v>
      </c>
      <c r="F187" s="140"/>
    </row>
    <row r="188" spans="1:6" ht="51">
      <c r="A188" s="153" t="s">
        <v>268</v>
      </c>
      <c r="B188" s="154" t="s">
        <v>204</v>
      </c>
      <c r="C188" s="154">
        <v>100</v>
      </c>
      <c r="D188" s="156">
        <v>294350</v>
      </c>
      <c r="F188" s="140"/>
    </row>
    <row r="189" spans="1:6" ht="25.5">
      <c r="A189" s="153" t="s">
        <v>184</v>
      </c>
      <c r="B189" s="154" t="s">
        <v>204</v>
      </c>
      <c r="C189" s="154">
        <v>200</v>
      </c>
      <c r="D189" s="156">
        <v>1650</v>
      </c>
      <c r="F189" s="140"/>
    </row>
    <row r="190" spans="1:6" ht="24">
      <c r="A190" s="306" t="s">
        <v>231</v>
      </c>
      <c r="B190" s="154" t="s">
        <v>732</v>
      </c>
      <c r="C190" s="154"/>
      <c r="D190" s="307">
        <v>150000</v>
      </c>
      <c r="F190" s="140"/>
    </row>
    <row r="191" spans="1:6" ht="25.5">
      <c r="A191" s="303" t="s">
        <v>184</v>
      </c>
      <c r="B191" s="154" t="s">
        <v>732</v>
      </c>
      <c r="C191" s="154">
        <v>200</v>
      </c>
      <c r="D191" s="307">
        <v>150000</v>
      </c>
      <c r="F191" s="140"/>
    </row>
    <row r="192" spans="1:6" ht="25.5">
      <c r="A192" s="153" t="s">
        <v>16</v>
      </c>
      <c r="B192" s="154" t="s">
        <v>235</v>
      </c>
      <c r="C192" s="154"/>
      <c r="D192" s="152">
        <f>D193</f>
        <v>20000</v>
      </c>
      <c r="F192" s="140"/>
    </row>
    <row r="193" spans="1:6" ht="24">
      <c r="A193" s="31" t="s">
        <v>231</v>
      </c>
      <c r="B193" s="154" t="s">
        <v>232</v>
      </c>
      <c r="C193" s="154"/>
      <c r="D193" s="152">
        <f>D194</f>
        <v>20000</v>
      </c>
      <c r="F193" s="140"/>
    </row>
    <row r="194" spans="1:6" ht="25.5">
      <c r="A194" s="165" t="s">
        <v>184</v>
      </c>
      <c r="B194" s="166" t="s">
        <v>232</v>
      </c>
      <c r="C194" s="281">
        <v>200</v>
      </c>
      <c r="D194" s="168">
        <v>20000</v>
      </c>
      <c r="F194" s="140"/>
    </row>
    <row r="195" spans="1:6" ht="51">
      <c r="A195" s="205" t="s">
        <v>556</v>
      </c>
      <c r="B195" s="277" t="s">
        <v>140</v>
      </c>
      <c r="C195" s="225" t="s">
        <v>263</v>
      </c>
      <c r="D195" s="279">
        <f>D196+D202</f>
        <v>2037680.5</v>
      </c>
      <c r="F195" s="140"/>
    </row>
    <row r="196" spans="1:6" ht="67.5" customHeight="1">
      <c r="A196" s="172" t="s">
        <v>543</v>
      </c>
      <c r="B196" s="159" t="s">
        <v>141</v>
      </c>
      <c r="C196" s="154"/>
      <c r="D196" s="152">
        <f>D197</f>
        <v>1997680.5</v>
      </c>
      <c r="F196" s="140"/>
    </row>
    <row r="197" spans="1:6" ht="51">
      <c r="A197" s="38" t="s">
        <v>518</v>
      </c>
      <c r="B197" s="159" t="s">
        <v>146</v>
      </c>
      <c r="C197" s="154"/>
      <c r="D197" s="152">
        <f>D198</f>
        <v>1997680.5</v>
      </c>
      <c r="F197" s="140"/>
    </row>
    <row r="198" spans="1:6" ht="25.5">
      <c r="A198" s="155" t="s">
        <v>283</v>
      </c>
      <c r="B198" s="159" t="s">
        <v>147</v>
      </c>
      <c r="C198" s="154" t="s">
        <v>263</v>
      </c>
      <c r="D198" s="152">
        <f>SUM(D199:D201)</f>
        <v>1997680.5</v>
      </c>
      <c r="F198" s="140"/>
    </row>
    <row r="199" spans="1:6" ht="51">
      <c r="A199" s="153" t="s">
        <v>268</v>
      </c>
      <c r="B199" s="159" t="s">
        <v>147</v>
      </c>
      <c r="C199" s="154" t="s">
        <v>592</v>
      </c>
      <c r="D199" s="156">
        <f>1820650+800</f>
        <v>1821450</v>
      </c>
      <c r="F199" s="140"/>
    </row>
    <row r="200" spans="1:6" ht="25.5">
      <c r="A200" s="153" t="s">
        <v>184</v>
      </c>
      <c r="B200" s="159" t="s">
        <v>147</v>
      </c>
      <c r="C200" s="154" t="s">
        <v>250</v>
      </c>
      <c r="D200" s="156">
        <v>174965.5</v>
      </c>
      <c r="F200" s="140"/>
    </row>
    <row r="201" spans="1:6" ht="12.75">
      <c r="A201" s="282" t="s">
        <v>253</v>
      </c>
      <c r="B201" s="283" t="s">
        <v>147</v>
      </c>
      <c r="C201" s="281" t="s">
        <v>254</v>
      </c>
      <c r="D201" s="241">
        <v>1265</v>
      </c>
      <c r="F201" s="140"/>
    </row>
    <row r="202" spans="1:6" ht="63.75">
      <c r="A202" s="32" t="s">
        <v>86</v>
      </c>
      <c r="B202" s="159" t="s">
        <v>87</v>
      </c>
      <c r="C202" s="324"/>
      <c r="D202" s="307">
        <v>40000</v>
      </c>
      <c r="F202" s="140"/>
    </row>
    <row r="203" spans="1:6" ht="38.25">
      <c r="A203" s="24" t="s">
        <v>88</v>
      </c>
      <c r="B203" s="159" t="s">
        <v>89</v>
      </c>
      <c r="C203" s="324"/>
      <c r="D203" s="307">
        <v>40000</v>
      </c>
      <c r="F203" s="140"/>
    </row>
    <row r="204" spans="1:6" ht="25.5">
      <c r="A204" s="321" t="s">
        <v>91</v>
      </c>
      <c r="B204" s="159" t="s">
        <v>90</v>
      </c>
      <c r="C204" s="324"/>
      <c r="D204" s="307">
        <v>40000</v>
      </c>
      <c r="F204" s="140"/>
    </row>
    <row r="205" spans="1:6" ht="25.5">
      <c r="A205" s="153" t="s">
        <v>184</v>
      </c>
      <c r="B205" s="159" t="s">
        <v>90</v>
      </c>
      <c r="C205" s="143">
        <v>200</v>
      </c>
      <c r="D205" s="170">
        <v>40000</v>
      </c>
      <c r="F205" s="140"/>
    </row>
    <row r="206" spans="1:6" ht="25.5">
      <c r="A206" s="196" t="s">
        <v>388</v>
      </c>
      <c r="B206" s="242" t="s">
        <v>529</v>
      </c>
      <c r="C206" s="284" t="s">
        <v>263</v>
      </c>
      <c r="D206" s="183">
        <f>D207+D211</f>
        <v>4020733</v>
      </c>
      <c r="F206" s="140"/>
    </row>
    <row r="207" spans="1:6" ht="38.25">
      <c r="A207" s="162" t="s">
        <v>712</v>
      </c>
      <c r="B207" s="159" t="s">
        <v>346</v>
      </c>
      <c r="C207" s="157" t="s">
        <v>263</v>
      </c>
      <c r="D207" s="152">
        <f>D208</f>
        <v>44000</v>
      </c>
      <c r="F207" s="140"/>
    </row>
    <row r="208" spans="1:6" ht="38.25">
      <c r="A208" s="38" t="s">
        <v>345</v>
      </c>
      <c r="B208" s="159" t="s">
        <v>347</v>
      </c>
      <c r="C208" s="157"/>
      <c r="D208" s="152">
        <f>D209</f>
        <v>44000</v>
      </c>
      <c r="F208" s="140"/>
    </row>
    <row r="209" spans="1:6" ht="12.75">
      <c r="A209" s="43" t="s">
        <v>348</v>
      </c>
      <c r="B209" s="159" t="s">
        <v>349</v>
      </c>
      <c r="C209" s="157" t="s">
        <v>263</v>
      </c>
      <c r="D209" s="152">
        <f>D210</f>
        <v>44000</v>
      </c>
      <c r="F209" s="140"/>
    </row>
    <row r="210" spans="1:6" ht="12.75">
      <c r="A210" s="153" t="s">
        <v>282</v>
      </c>
      <c r="B210" s="159" t="s">
        <v>349</v>
      </c>
      <c r="C210" s="154" t="s">
        <v>258</v>
      </c>
      <c r="D210" s="156">
        <v>44000</v>
      </c>
      <c r="F210" s="140"/>
    </row>
    <row r="211" spans="1:6" ht="38.25">
      <c r="A211" s="162" t="s">
        <v>390</v>
      </c>
      <c r="B211" s="154" t="s">
        <v>530</v>
      </c>
      <c r="C211" s="154" t="s">
        <v>263</v>
      </c>
      <c r="D211" s="152">
        <f>D212</f>
        <v>3976733</v>
      </c>
      <c r="F211" s="140"/>
    </row>
    <row r="212" spans="1:6" ht="38.25">
      <c r="A212" s="38" t="s">
        <v>414</v>
      </c>
      <c r="B212" s="154" t="s">
        <v>321</v>
      </c>
      <c r="C212" s="154"/>
      <c r="D212" s="152">
        <f>D213</f>
        <v>3976733</v>
      </c>
      <c r="F212" s="140"/>
    </row>
    <row r="213" spans="1:6" ht="25.5">
      <c r="A213" s="155" t="s">
        <v>613</v>
      </c>
      <c r="B213" s="154" t="s">
        <v>531</v>
      </c>
      <c r="C213" s="154" t="s">
        <v>263</v>
      </c>
      <c r="D213" s="152">
        <f>SUM(D214:D215)</f>
        <v>3976733</v>
      </c>
      <c r="F213" s="140"/>
    </row>
    <row r="214" spans="1:6" ht="51">
      <c r="A214" s="153" t="s">
        <v>268</v>
      </c>
      <c r="B214" s="154" t="s">
        <v>531</v>
      </c>
      <c r="C214" s="154">
        <v>100</v>
      </c>
      <c r="D214" s="156">
        <v>3765303</v>
      </c>
      <c r="F214" s="140"/>
    </row>
    <row r="215" spans="1:6" ht="25.5">
      <c r="A215" s="153" t="s">
        <v>184</v>
      </c>
      <c r="B215" s="154" t="s">
        <v>531</v>
      </c>
      <c r="C215" s="154" t="s">
        <v>250</v>
      </c>
      <c r="D215" s="156">
        <v>211430</v>
      </c>
      <c r="F215" s="140"/>
    </row>
    <row r="216" spans="1:6" ht="25.5">
      <c r="A216" s="250" t="s">
        <v>538</v>
      </c>
      <c r="B216" s="251" t="s">
        <v>142</v>
      </c>
      <c r="C216" s="252" t="s">
        <v>263</v>
      </c>
      <c r="D216" s="253">
        <f>D217+D221</f>
        <v>380154.9</v>
      </c>
      <c r="F216" s="140"/>
    </row>
    <row r="217" spans="1:6" ht="38.25">
      <c r="A217" s="266" t="s">
        <v>584</v>
      </c>
      <c r="B217" s="255" t="s">
        <v>143</v>
      </c>
      <c r="C217" s="260"/>
      <c r="D217" s="257">
        <f>D218</f>
        <v>84154.9</v>
      </c>
      <c r="F217" s="140"/>
    </row>
    <row r="218" spans="1:6" ht="38.25">
      <c r="A218" s="68" t="s">
        <v>626</v>
      </c>
      <c r="B218" s="255" t="s">
        <v>144</v>
      </c>
      <c r="C218" s="260"/>
      <c r="D218" s="257">
        <f>D219</f>
        <v>84154.9</v>
      </c>
      <c r="F218" s="140"/>
    </row>
    <row r="219" spans="1:6" ht="25.5">
      <c r="A219" s="259" t="s">
        <v>537</v>
      </c>
      <c r="B219" s="255" t="s">
        <v>145</v>
      </c>
      <c r="C219" s="260"/>
      <c r="D219" s="257">
        <f>D220</f>
        <v>84154.9</v>
      </c>
      <c r="F219" s="140"/>
    </row>
    <row r="220" spans="1:6" ht="25.5">
      <c r="A220" s="259" t="s">
        <v>266</v>
      </c>
      <c r="B220" s="255" t="s">
        <v>145</v>
      </c>
      <c r="C220" s="260">
        <v>600</v>
      </c>
      <c r="D220" s="261">
        <v>84154.9</v>
      </c>
      <c r="F220" s="140"/>
    </row>
    <row r="221" spans="1:6" ht="38.25">
      <c r="A221" s="266" t="s">
        <v>585</v>
      </c>
      <c r="B221" s="255" t="s">
        <v>148</v>
      </c>
      <c r="C221" s="260"/>
      <c r="D221" s="257">
        <f>D222</f>
        <v>296000</v>
      </c>
      <c r="F221" s="140"/>
    </row>
    <row r="222" spans="1:6" ht="38.25">
      <c r="A222" s="69" t="s">
        <v>205</v>
      </c>
      <c r="B222" s="255" t="s">
        <v>149</v>
      </c>
      <c r="C222" s="260"/>
      <c r="D222" s="257">
        <f>D223</f>
        <v>296000</v>
      </c>
      <c r="F222" s="140"/>
    </row>
    <row r="223" spans="1:6" ht="25.5">
      <c r="A223" s="258" t="s">
        <v>172</v>
      </c>
      <c r="B223" s="255" t="s">
        <v>150</v>
      </c>
      <c r="C223" s="256" t="s">
        <v>263</v>
      </c>
      <c r="D223" s="257">
        <f>SUM(D224:D224)</f>
        <v>296000</v>
      </c>
      <c r="F223" s="140"/>
    </row>
    <row r="224" spans="1:6" ht="51">
      <c r="A224" s="259" t="s">
        <v>268</v>
      </c>
      <c r="B224" s="255" t="s">
        <v>150</v>
      </c>
      <c r="C224" s="260">
        <v>100</v>
      </c>
      <c r="D224" s="261">
        <v>296000</v>
      </c>
      <c r="F224" s="140"/>
    </row>
    <row r="225" spans="1:6" ht="38.25">
      <c r="A225" s="271" t="s">
        <v>180</v>
      </c>
      <c r="B225" s="272" t="s">
        <v>44</v>
      </c>
      <c r="C225" s="273"/>
      <c r="D225" s="274">
        <f>D226</f>
        <v>9612113</v>
      </c>
      <c r="F225" s="140"/>
    </row>
    <row r="226" spans="1:6" ht="18.75" customHeight="1">
      <c r="A226" s="34" t="s">
        <v>734</v>
      </c>
      <c r="B226" s="159" t="s">
        <v>733</v>
      </c>
      <c r="C226" s="154"/>
      <c r="D226" s="152">
        <f>D227</f>
        <v>9612113</v>
      </c>
      <c r="F226" s="140"/>
    </row>
    <row r="227" spans="1:6" ht="16.5" customHeight="1">
      <c r="A227" s="104" t="s">
        <v>736</v>
      </c>
      <c r="B227" s="159" t="s">
        <v>735</v>
      </c>
      <c r="C227" s="154"/>
      <c r="D227" s="152">
        <f>D228</f>
        <v>9612113</v>
      </c>
      <c r="F227" s="140"/>
    </row>
    <row r="228" spans="1:6" ht="25.5">
      <c r="A228" s="153" t="s">
        <v>184</v>
      </c>
      <c r="B228" s="159" t="s">
        <v>735</v>
      </c>
      <c r="C228" s="154">
        <v>200</v>
      </c>
      <c r="D228" s="156">
        <v>9612113</v>
      </c>
      <c r="F228" s="140"/>
    </row>
    <row r="229" spans="1:6" ht="38.25">
      <c r="A229" s="196" t="s">
        <v>480</v>
      </c>
      <c r="B229" s="147" t="s">
        <v>288</v>
      </c>
      <c r="C229" s="147"/>
      <c r="D229" s="195">
        <f>D230</f>
        <v>30000</v>
      </c>
      <c r="F229" s="140"/>
    </row>
    <row r="230" spans="1:6" ht="51">
      <c r="A230" s="162" t="s">
        <v>481</v>
      </c>
      <c r="B230" s="154" t="s">
        <v>289</v>
      </c>
      <c r="C230" s="154"/>
      <c r="D230" s="152">
        <f>D231</f>
        <v>30000</v>
      </c>
      <c r="F230" s="140"/>
    </row>
    <row r="231" spans="1:6" ht="25.5">
      <c r="A231" s="153" t="s">
        <v>338</v>
      </c>
      <c r="B231" s="154" t="s">
        <v>339</v>
      </c>
      <c r="C231" s="154"/>
      <c r="D231" s="152">
        <f>D232</f>
        <v>30000</v>
      </c>
      <c r="F231" s="140"/>
    </row>
    <row r="232" spans="1:6" ht="25.5">
      <c r="A232" s="153" t="s">
        <v>343</v>
      </c>
      <c r="B232" s="154" t="s">
        <v>340</v>
      </c>
      <c r="C232" s="154"/>
      <c r="D232" s="152">
        <f>D233</f>
        <v>30000</v>
      </c>
      <c r="F232" s="140"/>
    </row>
    <row r="233" spans="1:6" ht="25.5">
      <c r="A233" s="210" t="s">
        <v>184</v>
      </c>
      <c r="B233" s="211" t="s">
        <v>340</v>
      </c>
      <c r="C233" s="211">
        <v>200</v>
      </c>
      <c r="D233" s="213">
        <v>30000</v>
      </c>
      <c r="F233" s="140"/>
    </row>
    <row r="234" spans="1:6" ht="25.5">
      <c r="A234" s="271" t="s">
        <v>583</v>
      </c>
      <c r="B234" s="273" t="s">
        <v>522</v>
      </c>
      <c r="C234" s="273" t="s">
        <v>263</v>
      </c>
      <c r="D234" s="274">
        <f>D235</f>
        <v>1217683</v>
      </c>
      <c r="F234" s="140"/>
    </row>
    <row r="235" spans="1:6" ht="12.75">
      <c r="A235" s="153" t="s">
        <v>685</v>
      </c>
      <c r="B235" s="154" t="s">
        <v>523</v>
      </c>
      <c r="C235" s="154" t="s">
        <v>263</v>
      </c>
      <c r="D235" s="152">
        <f>D236</f>
        <v>1217683</v>
      </c>
      <c r="F235" s="140"/>
    </row>
    <row r="236" spans="1:6" ht="25.5">
      <c r="A236" s="155" t="s">
        <v>613</v>
      </c>
      <c r="B236" s="154" t="s">
        <v>524</v>
      </c>
      <c r="C236" s="154" t="s">
        <v>263</v>
      </c>
      <c r="D236" s="152">
        <f>D237</f>
        <v>1217683</v>
      </c>
      <c r="F236" s="140"/>
    </row>
    <row r="237" spans="1:6" ht="51">
      <c r="A237" s="210" t="s">
        <v>268</v>
      </c>
      <c r="B237" s="211" t="s">
        <v>524</v>
      </c>
      <c r="C237" s="211" t="s">
        <v>592</v>
      </c>
      <c r="D237" s="156">
        <v>1217683</v>
      </c>
      <c r="F237" s="140"/>
    </row>
    <row r="238" spans="1:7" ht="12.75">
      <c r="A238" s="271" t="s">
        <v>170</v>
      </c>
      <c r="B238" s="273" t="s">
        <v>525</v>
      </c>
      <c r="C238" s="273" t="s">
        <v>263</v>
      </c>
      <c r="D238" s="274">
        <f>D239</f>
        <v>10953623</v>
      </c>
      <c r="E238" s="285"/>
      <c r="F238" s="140"/>
      <c r="G238" s="244"/>
    </row>
    <row r="239" spans="1:6" ht="12.75">
      <c r="A239" s="153" t="s">
        <v>175</v>
      </c>
      <c r="B239" s="154" t="s">
        <v>526</v>
      </c>
      <c r="C239" s="154" t="s">
        <v>263</v>
      </c>
      <c r="D239" s="152">
        <f>D240+D243</f>
        <v>10953623</v>
      </c>
      <c r="F239" s="140"/>
    </row>
    <row r="240" spans="1:6" ht="38.25">
      <c r="A240" s="153" t="s">
        <v>293</v>
      </c>
      <c r="B240" s="154" t="s">
        <v>527</v>
      </c>
      <c r="C240" s="154"/>
      <c r="D240" s="152">
        <f>SUM(D241:D242)</f>
        <v>296000</v>
      </c>
      <c r="F240" s="140"/>
    </row>
    <row r="241" spans="1:6" ht="51">
      <c r="A241" s="153" t="s">
        <v>268</v>
      </c>
      <c r="B241" s="154" t="s">
        <v>527</v>
      </c>
      <c r="C241" s="154">
        <v>100</v>
      </c>
      <c r="D241" s="156">
        <v>285000</v>
      </c>
      <c r="F241" s="140"/>
    </row>
    <row r="242" spans="1:6" ht="25.5">
      <c r="A242" s="153" t="s">
        <v>184</v>
      </c>
      <c r="B242" s="154" t="s">
        <v>527</v>
      </c>
      <c r="C242" s="154">
        <v>200</v>
      </c>
      <c r="D242" s="156">
        <v>11000</v>
      </c>
      <c r="F242" s="140"/>
    </row>
    <row r="243" spans="1:6" ht="25.5">
      <c r="A243" s="155" t="s">
        <v>613</v>
      </c>
      <c r="B243" s="154" t="s">
        <v>528</v>
      </c>
      <c r="C243" s="154" t="s">
        <v>263</v>
      </c>
      <c r="D243" s="152">
        <f>SUM(D244:D246)</f>
        <v>10657623</v>
      </c>
      <c r="F243" s="140"/>
    </row>
    <row r="244" spans="1:6" ht="51">
      <c r="A244" s="153" t="s">
        <v>268</v>
      </c>
      <c r="B244" s="154" t="s">
        <v>528</v>
      </c>
      <c r="C244" s="154">
        <v>100</v>
      </c>
      <c r="D244" s="156">
        <v>9736676</v>
      </c>
      <c r="F244" s="140"/>
    </row>
    <row r="245" spans="1:6" ht="25.5">
      <c r="A245" s="153" t="s">
        <v>184</v>
      </c>
      <c r="B245" s="154" t="s">
        <v>528</v>
      </c>
      <c r="C245" s="154">
        <v>200</v>
      </c>
      <c r="D245" s="156">
        <v>786632</v>
      </c>
      <c r="F245" s="140"/>
    </row>
    <row r="246" spans="1:6" ht="12.75">
      <c r="A246" s="210" t="s">
        <v>253</v>
      </c>
      <c r="B246" s="211" t="s">
        <v>528</v>
      </c>
      <c r="C246" s="211">
        <v>800</v>
      </c>
      <c r="D246" s="213">
        <v>134315</v>
      </c>
      <c r="F246" s="140"/>
    </row>
    <row r="247" spans="1:6" ht="25.5">
      <c r="A247" s="250" t="s">
        <v>386</v>
      </c>
      <c r="B247" s="251" t="s">
        <v>532</v>
      </c>
      <c r="C247" s="252" t="s">
        <v>263</v>
      </c>
      <c r="D247" s="253">
        <f>D248+D251</f>
        <v>927689</v>
      </c>
      <c r="F247" s="140"/>
    </row>
    <row r="248" spans="1:6" ht="25.5">
      <c r="A248" s="266" t="s">
        <v>387</v>
      </c>
      <c r="B248" s="267" t="s">
        <v>533</v>
      </c>
      <c r="C248" s="260" t="s">
        <v>263</v>
      </c>
      <c r="D248" s="257">
        <f>D249</f>
        <v>591433.54</v>
      </c>
      <c r="F248" s="140"/>
    </row>
    <row r="249" spans="1:6" ht="25.5">
      <c r="A249" s="258" t="s">
        <v>613</v>
      </c>
      <c r="B249" s="255" t="s">
        <v>534</v>
      </c>
      <c r="C249" s="260"/>
      <c r="D249" s="257">
        <f>SUM(D250:D250)</f>
        <v>591433.54</v>
      </c>
      <c r="F249" s="140"/>
    </row>
    <row r="250" spans="1:6" ht="51">
      <c r="A250" s="259" t="s">
        <v>268</v>
      </c>
      <c r="B250" s="255" t="s">
        <v>534</v>
      </c>
      <c r="C250" s="260">
        <v>100</v>
      </c>
      <c r="D250" s="257">
        <v>591433.54</v>
      </c>
      <c r="F250" s="140"/>
    </row>
    <row r="251" spans="1:6" ht="12.75">
      <c r="A251" s="259" t="s">
        <v>161</v>
      </c>
      <c r="B251" s="267" t="s">
        <v>160</v>
      </c>
      <c r="C251" s="260"/>
      <c r="D251" s="257">
        <f>D252</f>
        <v>336255.46</v>
      </c>
      <c r="F251" s="140"/>
    </row>
    <row r="252" spans="1:6" ht="25.5">
      <c r="A252" s="258" t="s">
        <v>613</v>
      </c>
      <c r="B252" s="255" t="s">
        <v>159</v>
      </c>
      <c r="C252" s="260"/>
      <c r="D252" s="257">
        <f>SUM(D253:D254)</f>
        <v>336255.46</v>
      </c>
      <c r="F252" s="140"/>
    </row>
    <row r="253" spans="1:6" ht="51">
      <c r="A253" s="259" t="s">
        <v>268</v>
      </c>
      <c r="B253" s="255" t="s">
        <v>159</v>
      </c>
      <c r="C253" s="260">
        <v>100</v>
      </c>
      <c r="D253" s="261">
        <v>325255.46</v>
      </c>
      <c r="F253" s="140"/>
    </row>
    <row r="254" spans="1:6" ht="25.5">
      <c r="A254" s="259" t="s">
        <v>184</v>
      </c>
      <c r="B254" s="255" t="s">
        <v>159</v>
      </c>
      <c r="C254" s="260">
        <v>200</v>
      </c>
      <c r="D254" s="261">
        <v>11000</v>
      </c>
      <c r="F254" s="140"/>
    </row>
    <row r="255" spans="1:6" ht="25.5">
      <c r="A255" s="271" t="s">
        <v>632</v>
      </c>
      <c r="B255" s="272" t="s">
        <v>631</v>
      </c>
      <c r="C255" s="286" t="s">
        <v>263</v>
      </c>
      <c r="D255" s="274">
        <f>D256</f>
        <v>133700</v>
      </c>
      <c r="F255" s="140"/>
    </row>
    <row r="256" spans="1:6" ht="12.75">
      <c r="A256" s="153" t="s">
        <v>630</v>
      </c>
      <c r="B256" s="159" t="s">
        <v>629</v>
      </c>
      <c r="C256" s="157"/>
      <c r="D256" s="152">
        <f>D257+D259</f>
        <v>133700</v>
      </c>
      <c r="F256" s="140"/>
    </row>
    <row r="257" spans="1:6" ht="25.5">
      <c r="A257" s="155" t="s">
        <v>157</v>
      </c>
      <c r="B257" s="159" t="s">
        <v>600</v>
      </c>
      <c r="C257" s="154"/>
      <c r="D257" s="152">
        <v>61500</v>
      </c>
      <c r="F257" s="140"/>
    </row>
    <row r="258" spans="1:6" ht="12.75">
      <c r="A258" s="153" t="s">
        <v>253</v>
      </c>
      <c r="B258" s="159" t="s">
        <v>600</v>
      </c>
      <c r="C258" s="154">
        <v>800</v>
      </c>
      <c r="D258" s="152">
        <v>61500</v>
      </c>
      <c r="F258" s="140"/>
    </row>
    <row r="259" spans="1:6" ht="25.5">
      <c r="A259" s="43" t="s">
        <v>628</v>
      </c>
      <c r="B259" s="159" t="s">
        <v>627</v>
      </c>
      <c r="C259" s="157" t="s">
        <v>263</v>
      </c>
      <c r="D259" s="152">
        <f>D260</f>
        <v>72200</v>
      </c>
      <c r="F259" s="140"/>
    </row>
    <row r="260" spans="1:6" ht="25.5">
      <c r="A260" s="210" t="s">
        <v>267</v>
      </c>
      <c r="B260" s="212" t="s">
        <v>627</v>
      </c>
      <c r="C260" s="211">
        <v>200</v>
      </c>
      <c r="D260" s="213">
        <v>72200</v>
      </c>
      <c r="F260" s="140"/>
    </row>
    <row r="261" spans="1:6" ht="25.5">
      <c r="A261" s="250" t="s">
        <v>39</v>
      </c>
      <c r="B261" s="251" t="s">
        <v>135</v>
      </c>
      <c r="C261" s="252"/>
      <c r="D261" s="253">
        <f>D262</f>
        <v>20877273</v>
      </c>
      <c r="F261" s="140"/>
    </row>
    <row r="262" spans="1:6" ht="12.75">
      <c r="A262" s="266" t="s">
        <v>40</v>
      </c>
      <c r="B262" s="267" t="s">
        <v>137</v>
      </c>
      <c r="C262" s="260"/>
      <c r="D262" s="257">
        <f>D263+D265+D268+D270+D274+D277+D279</f>
        <v>20877273</v>
      </c>
      <c r="F262" s="140"/>
    </row>
    <row r="263" spans="1:6" ht="25.5">
      <c r="A263" s="36" t="s">
        <v>395</v>
      </c>
      <c r="B263" s="255" t="s">
        <v>166</v>
      </c>
      <c r="C263" s="260"/>
      <c r="D263" s="257">
        <f>D264</f>
        <v>986911</v>
      </c>
      <c r="F263" s="140"/>
    </row>
    <row r="264" spans="1:6" ht="25.5">
      <c r="A264" s="259" t="s">
        <v>267</v>
      </c>
      <c r="B264" s="255" t="s">
        <v>166</v>
      </c>
      <c r="C264" s="260">
        <v>200</v>
      </c>
      <c r="D264" s="261">
        <v>986911</v>
      </c>
      <c r="F264" s="140"/>
    </row>
    <row r="265" spans="1:6" ht="51">
      <c r="A265" s="36" t="s">
        <v>394</v>
      </c>
      <c r="B265" s="255" t="s">
        <v>167</v>
      </c>
      <c r="C265" s="255"/>
      <c r="D265" s="257">
        <f>D266+D267</f>
        <v>148000</v>
      </c>
      <c r="F265" s="140"/>
    </row>
    <row r="266" spans="1:6" ht="51">
      <c r="A266" s="259" t="s">
        <v>268</v>
      </c>
      <c r="B266" s="255" t="s">
        <v>167</v>
      </c>
      <c r="C266" s="255">
        <v>100</v>
      </c>
      <c r="D266" s="261">
        <v>126900</v>
      </c>
      <c r="F266" s="140"/>
    </row>
    <row r="267" spans="1:7" ht="25.5">
      <c r="A267" s="259" t="s">
        <v>267</v>
      </c>
      <c r="B267" s="255" t="s">
        <v>167</v>
      </c>
      <c r="C267" s="255">
        <v>200</v>
      </c>
      <c r="D267" s="261">
        <v>21100</v>
      </c>
      <c r="E267" s="245"/>
      <c r="F267" s="140"/>
      <c r="G267" s="244"/>
    </row>
    <row r="268" spans="1:7" ht="38.25">
      <c r="A268" s="13" t="s">
        <v>239</v>
      </c>
      <c r="B268" s="17" t="s">
        <v>240</v>
      </c>
      <c r="C268" s="15"/>
      <c r="D268" s="261">
        <v>9720</v>
      </c>
      <c r="E268" s="245"/>
      <c r="F268" s="140"/>
      <c r="G268" s="244"/>
    </row>
    <row r="269" spans="1:7" ht="25.5">
      <c r="A269" s="14" t="s">
        <v>184</v>
      </c>
      <c r="B269" s="17" t="s">
        <v>240</v>
      </c>
      <c r="C269" s="15">
        <v>200</v>
      </c>
      <c r="D269" s="261">
        <v>9720</v>
      </c>
      <c r="E269" s="245"/>
      <c r="F269" s="140"/>
      <c r="G269" s="244"/>
    </row>
    <row r="270" spans="1:6" ht="25.5">
      <c r="A270" s="258" t="s">
        <v>283</v>
      </c>
      <c r="B270" s="255" t="s">
        <v>138</v>
      </c>
      <c r="C270" s="256" t="s">
        <v>263</v>
      </c>
      <c r="D270" s="257">
        <f>SUM(D271:D273)</f>
        <v>17013755</v>
      </c>
      <c r="F270" s="140"/>
    </row>
    <row r="271" spans="1:6" ht="51">
      <c r="A271" s="259" t="s">
        <v>268</v>
      </c>
      <c r="B271" s="255" t="s">
        <v>138</v>
      </c>
      <c r="C271" s="260" t="s">
        <v>592</v>
      </c>
      <c r="D271" s="261">
        <v>16441716</v>
      </c>
      <c r="F271" s="140"/>
    </row>
    <row r="272" spans="1:6" ht="25.5">
      <c r="A272" s="259" t="s">
        <v>184</v>
      </c>
      <c r="B272" s="255" t="s">
        <v>138</v>
      </c>
      <c r="C272" s="260" t="s">
        <v>250</v>
      </c>
      <c r="D272" s="261">
        <v>551200</v>
      </c>
      <c r="F272" s="140"/>
    </row>
    <row r="273" spans="1:6" ht="12.75">
      <c r="A273" s="259" t="s">
        <v>253</v>
      </c>
      <c r="B273" s="255" t="s">
        <v>138</v>
      </c>
      <c r="C273" s="260" t="s">
        <v>254</v>
      </c>
      <c r="D273" s="261">
        <v>20839</v>
      </c>
      <c r="F273" s="140"/>
    </row>
    <row r="274" spans="1:6" ht="25.5">
      <c r="A274" s="155" t="s">
        <v>157</v>
      </c>
      <c r="B274" s="159" t="s">
        <v>635</v>
      </c>
      <c r="C274" s="154"/>
      <c r="D274" s="156">
        <f>D275+D276</f>
        <v>2098887</v>
      </c>
      <c r="F274" s="140"/>
    </row>
    <row r="275" spans="1:6" ht="12.75">
      <c r="A275" s="165" t="s">
        <v>257</v>
      </c>
      <c r="B275" s="159" t="s">
        <v>635</v>
      </c>
      <c r="C275" s="154">
        <v>300</v>
      </c>
      <c r="D275" s="156">
        <v>5000</v>
      </c>
      <c r="F275" s="140"/>
    </row>
    <row r="276" spans="1:6" ht="12.75">
      <c r="A276" s="153" t="s">
        <v>253</v>
      </c>
      <c r="B276" s="159" t="s">
        <v>635</v>
      </c>
      <c r="C276" s="154">
        <v>800</v>
      </c>
      <c r="D276" s="156">
        <v>2093887</v>
      </c>
      <c r="F276" s="140"/>
    </row>
    <row r="277" spans="1:6" ht="25.5">
      <c r="A277" s="259" t="s">
        <v>43</v>
      </c>
      <c r="B277" s="255" t="s">
        <v>42</v>
      </c>
      <c r="C277" s="260"/>
      <c r="D277" s="257">
        <f>D278</f>
        <v>320000</v>
      </c>
      <c r="F277" s="140"/>
    </row>
    <row r="278" spans="1:6" ht="25.5">
      <c r="A278" s="259" t="s">
        <v>184</v>
      </c>
      <c r="B278" s="255" t="s">
        <v>42</v>
      </c>
      <c r="C278" s="260">
        <v>200</v>
      </c>
      <c r="D278" s="261">
        <v>320000</v>
      </c>
      <c r="F278" s="140"/>
    </row>
    <row r="279" spans="1:6" ht="25.5">
      <c r="A279" s="258" t="s">
        <v>216</v>
      </c>
      <c r="B279" s="255" t="s">
        <v>139</v>
      </c>
      <c r="C279" s="256" t="s">
        <v>263</v>
      </c>
      <c r="D279" s="257">
        <f>D280</f>
        <v>300000</v>
      </c>
      <c r="F279" s="140"/>
    </row>
    <row r="280" spans="1:6" ht="25.5">
      <c r="A280" s="259" t="s">
        <v>184</v>
      </c>
      <c r="B280" s="255" t="s">
        <v>139</v>
      </c>
      <c r="C280" s="255">
        <v>200</v>
      </c>
      <c r="D280" s="261">
        <v>300000</v>
      </c>
      <c r="F280" s="140"/>
    </row>
    <row r="281" spans="1:7" ht="12.75">
      <c r="A281" s="250" t="s">
        <v>391</v>
      </c>
      <c r="B281" s="252" t="s">
        <v>535</v>
      </c>
      <c r="C281" s="252" t="s">
        <v>263</v>
      </c>
      <c r="D281" s="253">
        <f>D282</f>
        <v>139630</v>
      </c>
      <c r="E281" s="269"/>
      <c r="F281" s="140"/>
      <c r="G281" s="248"/>
    </row>
    <row r="282" spans="1:7" ht="12.75">
      <c r="A282" s="259" t="s">
        <v>648</v>
      </c>
      <c r="B282" s="260" t="s">
        <v>536</v>
      </c>
      <c r="C282" s="260" t="s">
        <v>263</v>
      </c>
      <c r="D282" s="257">
        <f>D283+D285</f>
        <v>139630</v>
      </c>
      <c r="E282" s="269"/>
      <c r="F282" s="140"/>
      <c r="G282" s="248"/>
    </row>
    <row r="283" spans="1:7" ht="12.75">
      <c r="A283" s="258" t="s">
        <v>616</v>
      </c>
      <c r="B283" s="260" t="s">
        <v>122</v>
      </c>
      <c r="C283" s="256" t="s">
        <v>263</v>
      </c>
      <c r="D283" s="257">
        <f>D284</f>
        <v>79630</v>
      </c>
      <c r="E283" s="269"/>
      <c r="F283" s="140"/>
      <c r="G283" s="248"/>
    </row>
    <row r="284" spans="1:7" ht="12.75">
      <c r="A284" s="287" t="s">
        <v>253</v>
      </c>
      <c r="B284" s="288" t="s">
        <v>122</v>
      </c>
      <c r="C284" s="288" t="s">
        <v>254</v>
      </c>
      <c r="D284" s="289">
        <v>79630</v>
      </c>
      <c r="E284" s="269"/>
      <c r="F284" s="140"/>
      <c r="G284" s="248"/>
    </row>
    <row r="285" spans="1:7" ht="12.75">
      <c r="A285" s="153" t="s">
        <v>430</v>
      </c>
      <c r="B285" s="154" t="s">
        <v>431</v>
      </c>
      <c r="C285" s="290"/>
      <c r="D285" s="291">
        <v>60000</v>
      </c>
      <c r="E285" s="269"/>
      <c r="F285" s="140"/>
      <c r="G285" s="248"/>
    </row>
    <row r="286" spans="1:7" ht="12.75">
      <c r="A286" s="165" t="s">
        <v>257</v>
      </c>
      <c r="B286" s="166" t="s">
        <v>431</v>
      </c>
      <c r="C286" s="288">
        <v>300</v>
      </c>
      <c r="D286" s="289">
        <v>60000</v>
      </c>
      <c r="E286" s="269"/>
      <c r="F286" s="140"/>
      <c r="G286" s="248"/>
    </row>
    <row r="287" spans="5:7" ht="12.75">
      <c r="E287" s="243"/>
      <c r="F287" s="243"/>
      <c r="G287" s="276"/>
    </row>
    <row r="288" spans="5:7" ht="12.75">
      <c r="E288" s="245"/>
      <c r="F288" s="245"/>
      <c r="G288" s="244"/>
    </row>
    <row r="289" spans="5:7" ht="12.75">
      <c r="E289" s="245"/>
      <c r="F289" s="245"/>
      <c r="G289" s="244"/>
    </row>
    <row r="290" spans="5:7" ht="12.75">
      <c r="E290" s="245"/>
      <c r="F290" s="245"/>
      <c r="G290" s="248"/>
    </row>
    <row r="291" spans="5:7" ht="12.75">
      <c r="E291" s="119"/>
      <c r="F291" s="140"/>
      <c r="G291" s="119"/>
    </row>
    <row r="292" spans="5:7" ht="12.75">
      <c r="E292" s="119"/>
      <c r="F292" s="140"/>
      <c r="G292" s="119"/>
    </row>
    <row r="293" spans="5:7" ht="12.75">
      <c r="E293" s="119"/>
      <c r="F293" s="140"/>
      <c r="G293" s="119"/>
    </row>
    <row r="294" spans="5:7" ht="12.75">
      <c r="E294" s="119"/>
      <c r="F294" s="140"/>
      <c r="G294" s="119"/>
    </row>
    <row r="295" spans="5:7" ht="12.75">
      <c r="E295" s="119"/>
      <c r="F295" s="140"/>
      <c r="G295" s="119"/>
    </row>
    <row r="296" spans="5:7" ht="12.75">
      <c r="E296" s="119"/>
      <c r="F296" s="140"/>
      <c r="G296" s="119"/>
    </row>
    <row r="297" spans="5:7" ht="12.75">
      <c r="E297" s="119"/>
      <c r="F297" s="140"/>
      <c r="G297" s="119"/>
    </row>
    <row r="298" spans="5:7" ht="12.75">
      <c r="E298" s="119"/>
      <c r="F298" s="140"/>
      <c r="G298" s="119"/>
    </row>
    <row r="299" spans="5:7" ht="12.75">
      <c r="E299" s="119"/>
      <c r="F299" s="140"/>
      <c r="G299" s="119"/>
    </row>
  </sheetData>
  <sheetProtection/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2020-01-14T06:48:25Z</cp:lastPrinted>
  <dcterms:created xsi:type="dcterms:W3CDTF">2011-11-14T07:33:47Z</dcterms:created>
  <dcterms:modified xsi:type="dcterms:W3CDTF">2020-01-14T06:50:01Z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