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405" windowWidth="16605" windowHeight="7140" tabRatio="869" activeTab="12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9" sheetId="9" r:id="rId9"/>
    <sheet name="прил10" sheetId="10" r:id="rId10"/>
    <sheet name="прил11" sheetId="11" r:id="rId11"/>
    <sheet name="прил12" sheetId="12" r:id="rId12"/>
    <sheet name="прил13" sheetId="13" r:id="rId13"/>
    <sheet name="прил14" sheetId="14" r:id="rId14"/>
  </sheets>
  <definedNames>
    <definedName name="Z_61760596_1996_422C_A41D_51592B5AEA63_.wvu.PrintArea" localSheetId="0" hidden="1">'прил 1'!$A$1:$C$22</definedName>
    <definedName name="Z_61760596_1996_422C_A41D_51592B5AEA63_.wvu.PrintArea" localSheetId="1" hidden="1">'прил 2'!$A$1:$C$22</definedName>
    <definedName name="Z_61760596_1996_422C_A41D_51592B5AEA63_.wvu.PrintArea" localSheetId="12" hidden="1">'прил13'!$A$1:$G$21</definedName>
    <definedName name="Z_61760596_1996_422C_A41D_51592B5AEA63_.wvu.PrintArea" localSheetId="13" hidden="1">'прил14'!$A$1:$G$18</definedName>
    <definedName name="Z_772B23D4_7F73_461E_BC32_1D18D8038167_.wvu.PrintArea" localSheetId="0" hidden="1">'прил 1'!$A$1:$C$22</definedName>
    <definedName name="Z_772B23D4_7F73_461E_BC32_1D18D8038167_.wvu.PrintArea" localSheetId="1" hidden="1">'прил 2'!$A$1:$C$22</definedName>
    <definedName name="Z_772B23D4_7F73_461E_BC32_1D18D8038167_.wvu.PrintArea" localSheetId="12" hidden="1">'прил13'!$A$1:$G$21</definedName>
    <definedName name="Z_772B23D4_7F73_461E_BC32_1D18D8038167_.wvu.PrintArea" localSheetId="13" hidden="1">'прил14'!$A$1:$G$18</definedName>
    <definedName name="_xlnm.Print_Titles" localSheetId="2">'прил 3'!$7:$7</definedName>
    <definedName name="_xlnm.Print_Titles" localSheetId="3">'прил 4'!$7:$7</definedName>
    <definedName name="_xlnm.Print_Titles" localSheetId="4">'прил 5'!$7:$7</definedName>
    <definedName name="_xlnm.Print_Titles" localSheetId="6">'прил 7'!$8:$8</definedName>
    <definedName name="_xlnm.Print_Titles" localSheetId="7">'прил 8'!$8:$8</definedName>
    <definedName name="_xlnm.Print_Titles" localSheetId="9">'прил10'!$8:$8</definedName>
    <definedName name="_xlnm.Print_Titles" localSheetId="8">'прил9'!$8:$8</definedName>
    <definedName name="_xlnm.Print_Area" localSheetId="0">'прил 1'!$A$1:$C$26</definedName>
    <definedName name="_xlnm.Print_Area" localSheetId="2">'прил 3'!$A$1:$C$185</definedName>
    <definedName name="_xlnm.Print_Area" localSheetId="3">'прил 4'!$A$1:$D$141</definedName>
    <definedName name="_xlnm.Print_Area" localSheetId="4">'прил 5'!$A$1:$F$418</definedName>
    <definedName name="_xlnm.Print_Area" localSheetId="6">'прил 7'!$A$1:$G$404</definedName>
    <definedName name="_xlnm.Print_Area" localSheetId="7">'прил 8'!$A$1:$H$365</definedName>
    <definedName name="_xlnm.Print_Area" localSheetId="12">'прил13'!$A$1:$G$21</definedName>
    <definedName name="_xlnm.Print_Area" localSheetId="8">'прил9'!$A$1:$D$327</definedName>
  </definedNames>
  <calcPr fullCalcOnLoad="1"/>
</workbook>
</file>

<file path=xl/sharedStrings.xml><?xml version="1.0" encoding="utf-8"?>
<sst xmlns="http://schemas.openxmlformats.org/spreadsheetml/2006/main" count="8708" uniqueCount="954">
  <si>
    <t>на 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</si>
  <si>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2 02 40000 00 0000 150</t>
  </si>
  <si>
    <t>Иные межбюджетные трансферты</t>
  </si>
  <si>
    <t>2 07 00000 00 0000 000</t>
  </si>
  <si>
    <t>1 14 02042 04 0000 410</t>
  </si>
  <si>
    <t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</t>
  </si>
  <si>
    <t>02 1 00 00000</t>
  </si>
  <si>
    <t>02 3 00 00000</t>
  </si>
  <si>
    <t>04 0 00 00000</t>
  </si>
  <si>
    <t>04 2 00 00000</t>
  </si>
  <si>
    <t>04 2 01 00000</t>
  </si>
  <si>
    <t>04 2 01 С1467</t>
  </si>
  <si>
    <t>12 0 00 00000</t>
  </si>
  <si>
    <t>12 1 00 00000</t>
  </si>
  <si>
    <t>77 0 00 00000</t>
  </si>
  <si>
    <t>Муниципальная программа  "Развитие культуры в городе Щигры"</t>
  </si>
  <si>
    <t>77 2 00 00000</t>
  </si>
  <si>
    <t>до трех лет</t>
  </si>
  <si>
    <t>77 2 00 С1401</t>
  </si>
  <si>
    <t>77 2 00 С1439</t>
  </si>
  <si>
    <t>13 0 00 00000</t>
  </si>
  <si>
    <t>13 2 00 00000</t>
  </si>
  <si>
    <t>17 0 00 00000</t>
  </si>
  <si>
    <t>17 1 00 00000</t>
  </si>
  <si>
    <t>17 1 01 00000</t>
  </si>
  <si>
    <t>17 1 01 С1436</t>
  </si>
  <si>
    <t>13 2 01 00000</t>
  </si>
  <si>
    <t>13 2 01 С1401</t>
  </si>
  <si>
    <t>17 2 00 00000</t>
  </si>
  <si>
    <t>17 2 01 00000</t>
  </si>
  <si>
    <t>17 2 01 13310</t>
  </si>
  <si>
    <t>11 0 00 00000</t>
  </si>
  <si>
    <t>11 2 00 00000</t>
  </si>
  <si>
    <t xml:space="preserve">Капитальный ремонт, ремонт и содержание автомобильных дорог общего пользования местного значения </t>
  </si>
  <si>
    <t>07 0 00 00000</t>
  </si>
  <si>
    <t>Приложение №13</t>
  </si>
  <si>
    <t>Приложение №11</t>
  </si>
  <si>
    <t>СУММА</t>
  </si>
  <si>
    <t>Выполнение других (прочих) обязательств органа местного самоуправления</t>
  </si>
  <si>
    <t>Основное мероприятие "Осуществление мероприятий в области имущественных и земельных отношений на территории города Щигры Курской области"</t>
  </si>
  <si>
    <t>74 3 00 С1402</t>
  </si>
  <si>
    <t>74 3 00 00000</t>
  </si>
  <si>
    <t>Аппарат контрольно-счетного органа муниципального образования</t>
  </si>
  <si>
    <t>Дополнительное образование детей</t>
  </si>
  <si>
    <t xml:space="preserve">Молодежная политика </t>
  </si>
  <si>
    <t>Здравоохранение</t>
  </si>
  <si>
    <t>Санитарно-эпидемиологическое благополучие</t>
  </si>
  <si>
    <t>77 2 00 12700</t>
  </si>
  <si>
    <t>77 2 00 12712</t>
  </si>
  <si>
    <t>Подпрограмма "Развитие сети автомобильных дорог  города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</si>
  <si>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"Развитие малого и среднего предпринимательства в городе Щигры Курской области на 2021 - 2024 годы"</t>
  </si>
  <si>
    <t>77 2 00S4001</t>
  </si>
  <si>
    <t>Мероприятия  по реализации проекта "Народный бюджет" Капитальный ремонт сети водопровода от ул. Вишневая до ул. Зеленая в г.Щигры</t>
  </si>
  <si>
    <t>Мероприятия  по реализации проекта "Народный бюджет" Капитальный ремонт напорного коллектора от КНС по ул.Мира до самотечного коллектора по ул. Макарова в г.Щигры</t>
  </si>
  <si>
    <t>77 2 00S4002</t>
  </si>
  <si>
    <t>Мероприятия  по реализации проекта "Народный бюджет" Капитальный ремонт водонапорной башни, расположенной по адресу г.Щигры ул. Слободская</t>
  </si>
  <si>
    <t>77 2 00S4003</t>
  </si>
  <si>
    <t>Реализация проекта "Народный бюджет" в Курской области Капитальный ремонт сети водопровода от ул. Вишневая до ул. Зеленая в г.Щигры</t>
  </si>
  <si>
    <t>77 2 00 14001</t>
  </si>
  <si>
    <t>Реализация проекта "Народный бюджет" в Курской области Капитальный ремонт напорного коллектора от КНС по ул.Мира до самотечного коллектора по ул. Макарова в г.Щигры</t>
  </si>
  <si>
    <t>77 2 00 14002</t>
  </si>
  <si>
    <t>Реализация проекта "Народный бюджет" в Курской области Капитальный ремонт водонапорной башни, расположенной по адресу г.Щигры ул. Слободская</t>
  </si>
  <si>
    <t>77 2 00 14003</t>
  </si>
  <si>
    <t>Обеспечение мероприятий по внедрению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</si>
  <si>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00000</t>
  </si>
  <si>
    <t>03 2 E4 52100</t>
  </si>
  <si>
    <t>07 2 F3 00000</t>
  </si>
  <si>
    <t>Основное мероприятие "Разработка проектной документации на строительство дорог, проверка сметной документации, экспертиза проектов и смет"</t>
  </si>
  <si>
    <t>11 1 05 00000</t>
  </si>
  <si>
    <t>Софинансирование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</si>
  <si>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1 17 05040 04 0000 180</t>
  </si>
  <si>
    <t>Прочие неналоговые доходы бюджетов городских округов</t>
  </si>
  <si>
    <t>Субвенции бюджетам городских округов на осуществление отдельных государственных полномочий Курской области в соответствии с ЗакономКурской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</si>
  <si>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Наименование доходов</t>
  </si>
  <si>
    <t>1</t>
  </si>
  <si>
    <t>3</t>
  </si>
  <si>
    <t>200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</si>
  <si>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</si>
  <si>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</si>
  <si>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бюджетные ассигнования</t>
  </si>
  <si>
    <t>800</t>
  </si>
  <si>
    <t>600</t>
  </si>
  <si>
    <t>300</t>
  </si>
  <si>
    <t>Социальное обеспечение и иные выплаты населению</t>
  </si>
  <si>
    <t>700</t>
  </si>
  <si>
    <t>Прочие субвенции бюджетам городских округов</t>
  </si>
  <si>
    <t>Наименование</t>
  </si>
  <si>
    <t>2</t>
  </si>
  <si>
    <t>Дорожное хозяйство (дорожные фонды)</t>
  </si>
  <si>
    <t/>
  </si>
  <si>
    <t>(рублей)</t>
  </si>
  <si>
    <t>В С Е Г О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</si>
  <si>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</si>
  <si>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</si>
  <si>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</si>
  <si>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бюджета</t>
  </si>
  <si>
    <t>Подпрограмма "Организация деятельности в области обращения с отходами, в том числе с твердыми коммунальными отходами"</t>
  </si>
  <si>
    <t>Другие вопросы в области охраны окружающей среды</t>
  </si>
  <si>
    <t>Мероприятия по разработке документов территориального планирования и градостроительного зонирования</t>
  </si>
  <si>
    <t>77 2 00 С1416</t>
  </si>
  <si>
    <t>15 0 01 С1405</t>
  </si>
  <si>
    <t>Основное мероприятие "Осуществление  инженерных мероприятий, направленных на совершенствование организации движения транспортных средств и пешеходов (изготовление дорожных знаков, нанесение разметки на дорогах"</t>
  </si>
  <si>
    <t>13</t>
  </si>
  <si>
    <t>03</t>
  </si>
  <si>
    <t>09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</si>
  <si>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</si>
  <si>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</si>
  <si>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01 03 00 00 00 0000 000</t>
  </si>
  <si>
    <t>ГРБС</t>
  </si>
  <si>
    <t>Региональный проект "Успех каждого ребенка"</t>
  </si>
  <si>
    <t>Региональный проект "Цифровая образовательная среда"</t>
  </si>
  <si>
    <t>Осуществление отдельных государственных полномочий по  созданию и обеспечению деятельности комиссий по делам несовершеннолетних и защите их прав</t>
  </si>
  <si>
    <t>12 1 01 00000</t>
  </si>
  <si>
    <t>22 0 00 00000</t>
  </si>
  <si>
    <t>22 2 00 00000</t>
  </si>
  <si>
    <t>Основное мероприятие "Лечение и реабилитация больных наркоманией в медико-социальных учреждениях"</t>
  </si>
  <si>
    <t>22 2 03 00000</t>
  </si>
  <si>
    <t>22 2 03 С1486</t>
  </si>
  <si>
    <t>Создание комплексной системы мер по профилактике потребления наркотиков, лечению и реабилитации больных наркоманией</t>
  </si>
  <si>
    <t>02 2 00 00000</t>
  </si>
  <si>
    <t>Основное мероприятие «Сокращение стоимости обслуживания путем обеспечения приемлемых и экономически обоснованных объема и структуры муниципального долга города Щигры»</t>
  </si>
  <si>
    <t>14 1 00 00000</t>
  </si>
  <si>
    <t>14 1 01 00000</t>
  </si>
  <si>
    <t xml:space="preserve"> Обслуживание муниципального долга</t>
  </si>
  <si>
    <t>14 1 01 С1465</t>
  </si>
  <si>
    <t>Основное мероприятие"Оказание мер социальной поддержки реабилитированным лицам"</t>
  </si>
  <si>
    <t>02 3 01 00000</t>
  </si>
  <si>
    <t>Основное мероприятие "Организация осуществления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</si>
  <si>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</si>
  <si>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02 2 02 00000</t>
  </si>
  <si>
    <t>02 2 02 11170</t>
  </si>
  <si>
    <t>02 2 03 00000</t>
  </si>
  <si>
    <t>02 2 03 11180</t>
  </si>
  <si>
    <t>03 2 02 00000</t>
  </si>
  <si>
    <t>02 1 01 00000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</si>
  <si>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</si>
  <si>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</si>
  <si>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</si>
  <si>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</si>
  <si>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</si>
  <si>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</si>
  <si>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</si>
  <si>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</si>
  <si>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местным бюджетам на строительство (реконструкцию), капитальный ремонт, ремонт и содержание автомобильных дорог общего пользования местного значения</t>
  </si>
  <si>
    <t>2 19 60010 04 0000 150</t>
  </si>
  <si>
    <t>ВОЗВРАТ ОСТАТКОВ СУБСИДИЙ, СУБВЕНЦИЙ И ИНЫХ МЕЖБЮДЖЕТНЫХ ТРАНСФЕРТОВ, ИМЕЮЩИХ ЦЕЛЕВОЕ НАЗНАЧЕНИЕ, ПРОШЛЫХ ЛЕТ</t>
  </si>
  <si>
    <t>2 02 25169 00 0000 150</t>
  </si>
  <si>
    <t>Субсидии местным бюджетам на создание 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</si>
  <si>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2 02 25169 04 0000 150</t>
  </si>
  <si>
    <t>2 02 25210 00 0000 150</t>
  </si>
  <si>
    <t>Субсидии местным бюджетам на обеспечение образовательных организаций материально-технической базой для внедрения цифровой образовательной среды</t>
  </si>
  <si>
    <t>2 02 25210 04 0000 150</t>
  </si>
  <si>
    <t>11 1 02 13390</t>
  </si>
  <si>
    <t>Обеспечение мероприятий, связанных с профилактикой и устранением последствий распространения коронавирусной инфекции</t>
  </si>
  <si>
    <t>03 2 01 С2002</t>
  </si>
  <si>
    <t>Закупка товаров, работ и  услуг для обеспечения государственных (муниципальных) нужд</t>
  </si>
  <si>
    <t>Создание 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</si>
  <si>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</si>
  <si>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Обеспечение мероприятий, связанных с профилактикой и устранением последствий распространения короновирусной инфекции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</si>
  <si>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</si>
  <si>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Сумма
2023 год</t>
  </si>
  <si>
    <t>Приложение №1</t>
  </si>
  <si>
    <t>1 08 07150 01 0000 110</t>
  </si>
  <si>
    <t>Государственная пошлина за выдачу разрешения на установку рекламной конструкции</t>
  </si>
  <si>
    <t>2. Погашение внутренних заимствований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</si>
  <si>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</si>
  <si>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Муниципальная программа  "Социальная поддержка граждан в городе Щигры"</t>
  </si>
  <si>
    <t>Подпрограмма "Развитие мер социальной поддержки отдельных категорий граждан" муниципальной программы "Социальная поддержка граждан в городе Щигры"</t>
  </si>
  <si>
    <t>01 03 01 00 00 0000 700</t>
  </si>
  <si>
    <t>01 03 01 00 04 0000 710</t>
  </si>
  <si>
    <t>01 03 01 00 00 0000 800</t>
  </si>
  <si>
    <t>01 03 01 00 04 0000 810</t>
  </si>
  <si>
    <t>Субвенция бюджетам городских округов в размере, необходимом для реализации образовательной программы в части финансирования расходов на оплату труда работников муниципальных дошкольных образовательных учреждений, расходов на приобретение учебных пособий, 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</si>
  <si>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</si>
  <si>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</si>
  <si>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"Повышение эффективности управления финансами"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</si>
  <si>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в городе Щигры"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</si>
  <si>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финансами"</t>
  </si>
  <si>
    <t>Резервные фонды  органов местного самоуправления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</si>
  <si>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</si>
  <si>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</si>
  <si>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Наименование принципала</t>
  </si>
  <si>
    <t>Наличие (отсутствие) права регрессного требования</t>
  </si>
  <si>
    <t>Наименование кредитора</t>
  </si>
  <si>
    <t>Срок действия  гарантии</t>
  </si>
  <si>
    <t>7</t>
  </si>
  <si>
    <t>-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</si>
  <si>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</si>
  <si>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рублей</t>
  </si>
  <si>
    <t>За счет источников финансирования дефицита бюджета</t>
  </si>
  <si>
    <t>За счет расходов бюджета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</si>
  <si>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</si>
  <si>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</si>
  <si>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</si>
  <si>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</si>
  <si>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</si>
  <si>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</si>
  <si>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Погашение бюджетных кредитов, полученных из других бюджетов бюджетной системы Российской Федерации 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</si>
  <si>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</si>
  <si>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Бюджетные кредиты из других бюджетов бюджетной системы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</si>
  <si>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</si>
  <si>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</si>
  <si>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</si>
  <si>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</si>
  <si>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</si>
  <si>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</si>
  <si>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</si>
  <si>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</si>
  <si>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</si>
  <si>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</si>
  <si>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1 13 01994 04 0000 130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</si>
  <si>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</si>
  <si>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</si>
  <si>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</si>
  <si>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</si>
  <si>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</si>
  <si>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 xml:space="preserve">Доходы от продажи земельных участков, государственная собственность на которые не разграничена  </t>
  </si>
  <si>
    <t>1 14 06012 04 0000 430</t>
  </si>
  <si>
    <t>Обеспечение доступности качественного образования</t>
  </si>
  <si>
    <t>Подпрограмма "Создание условий для обеспечения доступным и комфортным жильем граждан в городе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</si>
  <si>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07 2 00 00000</t>
  </si>
  <si>
    <t>Основное мероприятие "Создание условий для развития социальной и инженерной инфраструктуры города Щигры Курской области"</t>
  </si>
  <si>
    <t>07 2 01 00000</t>
  </si>
  <si>
    <t>Мероприятия, направленные на проектирование, строительство, реконструкцию и капитальный ремонт объектов социально-культурного назначения</t>
  </si>
  <si>
    <t>07 2 01 C1421</t>
  </si>
  <si>
    <t>Капитальные вложения в объекты государственной (муниципальной) собственности</t>
  </si>
  <si>
    <t>78 1 00 С1403</t>
  </si>
  <si>
    <t>02 0 00 00000</t>
  </si>
  <si>
    <t>Прочие субсидии бюджетам городских округов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</si>
  <si>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</si>
  <si>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Субсидия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</si>
  <si>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Субсидия из областного бюджета бюджетам городских округов на реализацию проекта "Народный бюджет"</t>
  </si>
  <si>
    <t>Закупка товаров, работ и услуг для обеспечения государственных (муниципальных) нужд</t>
  </si>
  <si>
    <t>Основное мероприятие "Капитальный ремонт и ремонт  автомобильных дорог общего пользования местного значения"</t>
  </si>
  <si>
    <t>11 1 01 С1424</t>
  </si>
  <si>
    <t>11 1 01 00000</t>
  </si>
  <si>
    <t>Основное мероприятие "Содержание автомобильных дорог общего пользования местного значения"</t>
  </si>
  <si>
    <t>11 1 00 00000</t>
  </si>
  <si>
    <t>Основное мероприятие «Содействие проведению капитального ремонта муниципального жилищного фонда"</t>
  </si>
  <si>
    <t>Жилищное хозяйство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</si>
  <si>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</si>
  <si>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</si>
  <si>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</si>
  <si>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</si>
  <si>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Подпрограмма "Улучшение демографической ситуации, совершенствование социальной поддержки семьи и детей"" муниципальной программы "Социальная поддержка граждан в городе Щигры"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</si>
  <si>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 </t>
  </si>
  <si>
    <t>Физическая культура и спорт</t>
  </si>
  <si>
    <t>03 2 02 13000</t>
  </si>
  <si>
    <t>08 2 01 С1406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</si>
  <si>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</si>
  <si>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</si>
  <si>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</si>
  <si>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08 2 00 00000</t>
  </si>
  <si>
    <t>Основное мероприятие «Содействие развитию дошкольного образования»</t>
  </si>
  <si>
    <t>11 1 02 00000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</si>
  <si>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</si>
  <si>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</si>
  <si>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</si>
  <si>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</si>
  <si>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</si>
  <si>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</si>
  <si>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</si>
  <si>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</si>
  <si>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Основное мероприятие"Обеспечение эффективного повседневного функционирования системы гражданской обороны, защиты населения и территорий от чрезвычайных ситуаций и обеспечения безопасности людей на водных объектах"</t>
  </si>
  <si>
    <t>Подпрограмма "Обеспечение безопасности дорожного движения в городе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</si>
  <si>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Резервный фонд местной администрации</t>
  </si>
  <si>
    <t>Обеспечение мер социальной поддержки реабилитированных лиц и лиц, признанных пострадавшими от политических репрессий</t>
  </si>
  <si>
    <t>к решению Щигровской городской Думы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</si>
  <si>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</si>
  <si>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07 3 01 С1430</t>
  </si>
  <si>
    <t>Мероприятия по капитальному ремонту муниципального жилищного фонда</t>
  </si>
  <si>
    <t>07 3 01 00000</t>
  </si>
  <si>
    <t>Подпрограмма "Развитие дошкольного и общего образования детей" муниципальной программы "Развитие образования  в г. Щигры Курской области" на 2016-2020 годы</t>
  </si>
  <si>
    <t>Муниципальная программа г.Щигры Курской области"Развитие образования в г. Щигры Курской области" на 2016-2020 годы</t>
  </si>
  <si>
    <t>01 3 01 С1444</t>
  </si>
  <si>
    <t>Реализация мероприятий направленных на обеспечение правопорядка на территории муниципального образования</t>
  </si>
  <si>
    <t>12 1 02 С1435</t>
  </si>
  <si>
    <t>03 2 04 С1447</t>
  </si>
  <si>
    <t>Мероприятия в области образования</t>
  </si>
  <si>
    <t>12 1 02 00000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</si>
  <si>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</si>
  <si>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Муниципальная программа г.Щигры Курской области"Развитие образования в г. Щигры Курской области"</t>
  </si>
  <si>
    <t xml:space="preserve">Подпрограмма "Развитие дошкольного и общего образования детей" муниципальной программы "Развитие образования  в г. Щигры Курской области" </t>
  </si>
  <si>
    <t xml:space="preserve">Муниципальная программа г.Щигры Курской области"Развитие образования в г. Щигры Курской области" </t>
  </si>
  <si>
    <t xml:space="preserve">  </t>
  </si>
  <si>
    <t>08 1 01 S3540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</si>
  <si>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</si>
  <si>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Мероприятия в области имущественных отношений</t>
  </si>
  <si>
    <t>Основное мероприятие "Профилактика правонарушений в жилом секторе, на улицах и в общественных местах"</t>
  </si>
  <si>
    <t>12 1 01 С1435</t>
  </si>
  <si>
    <t>Основное мероприятие "Усиление социальной профилактики правонарушений среди несовершеннолетних"</t>
  </si>
  <si>
    <t>12 1 02 13180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</si>
  <si>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</si>
  <si>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Наименование источников финансирования дефицита бюджета</t>
  </si>
  <si>
    <t>Сумма</t>
  </si>
  <si>
    <t xml:space="preserve">Создание условий для организации досуга и обеспечения жителей  услугами организаций культуры </t>
  </si>
  <si>
    <t>07 2 F3 6748S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</si>
  <si>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</si>
  <si>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Подпрограмма "Снижение рисков и смягчение последствий чрезвычайных ситуаций природного и техногенного характера"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</si>
  <si>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Мероприятия по организации питания обучающихся из малоимущих и (или)  многодетных семей, а также обучающихся с ограниченными возможностями здоровья в муниципальных  общеобразовательных организациях</t>
  </si>
  <si>
    <t>Муниципальная программа "Комплексная межведомственная программа по профилактике преступлений и иных  правонарушений в городе Щигры Курской области"</t>
  </si>
  <si>
    <t>Подпрограмма "Управление муниципальной программой и обеспечение условий реализации" муниципальной программы "Комплексная межведомственная программа по профилактике преступлений и иных  правонарушений в городе Щигры Курской области"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</si>
  <si>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</si>
  <si>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</si>
  <si>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</si>
  <si>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03 2 03 00000</t>
  </si>
  <si>
    <t>03 2 03 13040</t>
  </si>
  <si>
    <t>03 2 03 С1401</t>
  </si>
  <si>
    <t>03 2 04 00000</t>
  </si>
  <si>
    <t>03 2 04 S3090</t>
  </si>
  <si>
    <t>03 3 00 00000</t>
  </si>
  <si>
    <t>03 3 01 00000</t>
  </si>
  <si>
    <t>03 3 01 С1401</t>
  </si>
  <si>
    <t>03 1 00 00000</t>
  </si>
  <si>
    <t>03 1 01 00000</t>
  </si>
  <si>
    <t>03 1 01 13120</t>
  </si>
  <si>
    <t>14 3 01 00000</t>
  </si>
  <si>
    <t>03 1 02 00000</t>
  </si>
  <si>
    <t>03 1 02 С1401</t>
  </si>
  <si>
    <t>01 0 00 00000</t>
  </si>
  <si>
    <t>01 2 00 00000</t>
  </si>
  <si>
    <t>01 2 01 00000</t>
  </si>
  <si>
    <t>01 2 01 С1401</t>
  </si>
  <si>
    <t>01 3 00 00000</t>
  </si>
  <si>
    <t>01 3 01 00000</t>
  </si>
  <si>
    <t>01 3 01 С1401</t>
  </si>
  <si>
    <t>в т.ч. на содержание работников, обеспечивающих переданные государственные полномочия по осуществлению выплаты компенсации части родительской платы</t>
  </si>
  <si>
    <t>Выплата компенсации части родительской платы</t>
  </si>
  <si>
    <t>Администрация города Щигры</t>
  </si>
  <si>
    <t>002</t>
  </si>
  <si>
    <t>Основное мероприятие "Обеспечение деятельности  муниципальных учреждений, относящихся к сфере прочего образования"</t>
  </si>
  <si>
    <t>Охрана окружающей среды</t>
  </si>
  <si>
    <t>07 4 00 00000</t>
  </si>
  <si>
    <t>Основное мероприятие" Реализация проектов в области обращения с отходами"</t>
  </si>
  <si>
    <t>07 4 01 С1457</t>
  </si>
  <si>
    <t>03 2 E1 00000</t>
  </si>
  <si>
    <t>03 2 E1 51690</t>
  </si>
  <si>
    <t>02 1 02 13221</t>
  </si>
  <si>
    <t>Основное мероприятие "Финансовая и имущественная поддержка субъектов малого и среднего предпринимательства"</t>
  </si>
  <si>
    <t>ШТРАФЫ, САНКЦИИ, ВОЗМЕЩЕНИЕ УЩЕРБА</t>
  </si>
  <si>
    <t>21 0 F2 00000</t>
  </si>
  <si>
    <t>21 0 F2 55550</t>
  </si>
  <si>
    <t>Реализация программ формирования современной городской среды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</si>
  <si>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</si>
  <si>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</si>
  <si>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77 2 00 С1404</t>
  </si>
  <si>
    <t>1 03 02231 01 0000 110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</si>
  <si>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</si>
  <si>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</si>
  <si>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</si>
  <si>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других бюджетов бюджетной системы Российской Федерации</t>
  </si>
  <si>
    <t>11 2 02 С1459</t>
  </si>
  <si>
    <t>Обеспечение безопасности дорожного движения на автомобильных дорогах местного значения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</si>
  <si>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</si>
  <si>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</si>
  <si>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</si>
  <si>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Подпрограмма "Повышение эффективности работы с молодежью, организация отдыха и оздоровления детей, молодежи"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спорта"</t>
  </si>
  <si>
    <t>Основное мероприятие" Содействие в озеленении и благоустройстве  города Щигры Курской области"</t>
  </si>
  <si>
    <t>03 2 E4 52101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</si>
  <si>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</si>
  <si>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</si>
  <si>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муниципального образования</t>
  </si>
  <si>
    <t>Приложение №7</t>
  </si>
  <si>
    <t>Код бюджетной классификации Российской Федерации</t>
  </si>
  <si>
    <t>БЕЗВОЗМЕЗДНЫЕ ПОСТУПЛЕНИЯ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</si>
  <si>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</si>
  <si>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</si>
  <si>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Прочие субвенции </t>
  </si>
  <si>
    <t>в т.ч. на содержание работников</t>
  </si>
  <si>
    <t>на осуществление выплаты компенсации части родительской платы</t>
  </si>
  <si>
    <t>в т.ч. на оказание финансовой поддержки общественным организациям ветеранов войны, труда, Вооруженных сил и правоохранительных органов</t>
  </si>
  <si>
    <t>на обеспечение мер социальной поддержки ветеранов труда и труженников тыла (субвенция на выплату ЕДВ)</t>
  </si>
  <si>
    <t>1. Привлечение внутренних заимствований</t>
  </si>
  <si>
    <t>1.</t>
  </si>
  <si>
    <t>Муниципальные ценные бумаги</t>
  </si>
  <si>
    <t>2.</t>
  </si>
  <si>
    <t>3.</t>
  </si>
  <si>
    <t>Кредиты кредитных организаций</t>
  </si>
  <si>
    <t>Итого</t>
  </si>
  <si>
    <t>1 17 00000 00 0000 000</t>
  </si>
  <si>
    <t>ПРОЧИЕ НЕНАЛОГОВЫЕ ДОХОДЫ</t>
  </si>
  <si>
    <t>Объем привлечения средств в 2022 году (рублей)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</si>
  <si>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</si>
  <si>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</si>
  <si>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Подпрограмма "Управление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</si>
  <si>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2 02 10000 00 0000 150</t>
  </si>
  <si>
    <t>2 02 15001 00 0000 150</t>
  </si>
  <si>
    <t>2 02 15001 04 0000 150</t>
  </si>
  <si>
    <t>2 02 30000 00 0000 150</t>
  </si>
  <si>
    <t>2 02 30013 00 0000 150</t>
  </si>
  <si>
    <t>2 02 30013 04 0000 150</t>
  </si>
  <si>
    <t>2 02 30027 00 0000 150</t>
  </si>
  <si>
    <t>2 02 30027 04 0000 150</t>
  </si>
  <si>
    <t>2 02 39999 04 0000 150</t>
  </si>
  <si>
    <t>Содержание работников, осуществляющих переданные государственные полномочия в сфере социальной защиты</t>
  </si>
  <si>
    <t>Подпрограмма "Управление муниципальным долгом города Щигры" муниципальной программы"Повышение эффективности управления финансами"</t>
  </si>
  <si>
    <t>Субвенция бюджетам городских округов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</si>
  <si>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2 00 00000 00 0000 000</t>
  </si>
  <si>
    <t>2 02 00000 00 0000 000</t>
  </si>
  <si>
    <t>03 2 04 С1401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</si>
  <si>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</si>
  <si>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03 2 04 L3040</t>
  </si>
  <si>
    <t>77 2 00 14000</t>
  </si>
  <si>
    <t>77 2 00S4000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</si>
  <si>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</si>
  <si>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 0 F2 54240</t>
  </si>
  <si>
    <t>1 03 02241 01 0000 110</t>
  </si>
  <si>
    <t>1 03 02251 01 0000 110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</si>
  <si>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</si>
  <si>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</si>
  <si>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</si>
  <si>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</si>
  <si>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земельных участков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</si>
  <si>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</si>
  <si>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</si>
  <si>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</si>
  <si>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2 02 39999 00 0000 150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</si>
  <si>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</si>
  <si>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</si>
  <si>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</si>
  <si>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</si>
  <si>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</si>
  <si>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</si>
  <si>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</si>
  <si>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</si>
  <si>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</si>
  <si>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</si>
  <si>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</si>
  <si>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</si>
  <si>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</si>
  <si>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</si>
  <si>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</si>
  <si>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</si>
  <si>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</si>
  <si>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</si>
  <si>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</si>
  <si>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</si>
  <si>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</si>
  <si>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</si>
  <si>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</si>
  <si>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Подпрограмма "Развитие физической культуры и спорта" муниципальной программы города Щигры  "Повышение эффективности работы с молодежью, организация отдыха и оздоровления детей, молодежи, развитие физической культуры и спорта"</t>
  </si>
  <si>
    <t>08 0 00 00000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</si>
  <si>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спорта"</t>
  </si>
  <si>
    <t>Массовый спорт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</si>
  <si>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</si>
  <si>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</si>
  <si>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Приложение №4</t>
  </si>
  <si>
    <t>Приложение №10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</si>
  <si>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</si>
  <si>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</si>
  <si>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</si>
  <si>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</si>
  <si>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</si>
  <si>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11 2 02 00000</t>
  </si>
  <si>
    <t>Основное мероприятие "Оказание мер социальной поддержки общественным организациям ветеранов войны, труда, Вооруженных Сил и правоохранительных органов"</t>
  </si>
  <si>
    <t>02 1 01 13200</t>
  </si>
  <si>
    <t>02 3 03 13170</t>
  </si>
  <si>
    <t>Основное мероприятие "Обеспечение деятельности и выполнение функций специалиста по труду Финансово-экономического управления администрации г.Щигры</t>
  </si>
  <si>
    <t>07 3 02 00000</t>
  </si>
  <si>
    <t>07 3 02 С1433</t>
  </si>
  <si>
    <t>Основное мероприятие "Реализация дошкольных образовательных программ"</t>
  </si>
  <si>
    <t>Основное мероприятие "Содействие развитию дошкольного образования"</t>
  </si>
  <si>
    <t>Основное мероприятие "Реализация основных общеобразовательных программ"</t>
  </si>
  <si>
    <t>Основное мероприятие"Содействие развитию общего образования"</t>
  </si>
  <si>
    <t>Основное мероприятие "Реализация  образовательных программ дополнительного образования и мероприятия по их развитию"</t>
  </si>
  <si>
    <t>Основное мероприятие "Обеспечение исполнения государственных полномочий  в области образования, переданных для осуществления органам местного самоуправления"</t>
  </si>
  <si>
    <t>00</t>
  </si>
  <si>
    <t>Финансово-экономическое управление администрации города Щигры Курской области</t>
  </si>
  <si>
    <t>Реализация мероприятий по распространению официальной информации</t>
  </si>
  <si>
    <t xml:space="preserve">Подпрограмма "Создание новых мест в общеоразовательных организациях в соответствии с прогнозируемой потребностью и современными условиями обучения" муниципальной программы "Развитие образования  в г. Щигры Курской области" </t>
  </si>
  <si>
    <t>03 4 00 00000</t>
  </si>
  <si>
    <t>03 4 01 00000</t>
  </si>
  <si>
    <t>03 4 01 С1421</t>
  </si>
  <si>
    <t>Обеспечение функционирования местных администраций</t>
  </si>
  <si>
    <t>Осуществление отдельных государственных полномочий в сфере трудовых отношений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</si>
  <si>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</si>
  <si>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</si>
  <si>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деятельности администрации города Щигры</t>
  </si>
  <si>
    <t>Приложение №5</t>
  </si>
  <si>
    <t>Муниципальная программа города Щигры Курской области "Формирование современной городской среды  на территории  города Щигры  Курской области"</t>
  </si>
  <si>
    <t>Подпрограмма "Проведение муниципальной политики в области имущественных и земельных отношений"</t>
  </si>
  <si>
    <t>Муниципальная программа города Щигры Курской области "Формирование современной городской среды  на территории города Щигры  Курской области"</t>
  </si>
  <si>
    <t>Муниципальная программа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</si>
  <si>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</si>
  <si>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</si>
  <si>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</si>
  <si>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</si>
  <si>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"Развитие библиотечного дела"</t>
  </si>
  <si>
    <t>08 1 01 С1458</t>
  </si>
  <si>
    <t>Развитие системы оздоровления  и отдыха детей</t>
  </si>
  <si>
    <t>08 1 01 00000</t>
  </si>
  <si>
    <t>Основное мероприятие «Организация оздоровления и отдыха детей в городе Щигры»</t>
  </si>
  <si>
    <t>08 1 00 00000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</si>
  <si>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</si>
  <si>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</si>
  <si>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</si>
  <si>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Предоставление социальной поддержки отдельным категориям граждан по обеспечению продовольственными товарами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</si>
  <si>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</si>
  <si>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</si>
  <si>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Мероприятия, связанные с организацией отдыха детей в каникулярное время</t>
  </si>
  <si>
    <t>2 02 35302 00 0000 150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</si>
  <si>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</si>
  <si>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2 02 35302 04 0000 150</t>
  </si>
  <si>
    <t>Субвенции бюджетам городских округов  на осуществление  ежемесячных выплат на детей в возрасте от трех до семи лет включительно</t>
  </si>
  <si>
    <t xml:space="preserve">на ежемесячную выплату на детей в возрасте от трех до семи лет включительно, за счет средств областного бюджета 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</si>
  <si>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</si>
  <si>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</si>
  <si>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</si>
  <si>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</si>
  <si>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</si>
  <si>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</si>
  <si>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</si>
  <si>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Оновное мероприятие"Введение новых мест в общеобразовательных организациях, в т.ч. путем строительства объектов инфраструктуры общего образования"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</si>
  <si>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</si>
  <si>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03 2 04 53030</t>
  </si>
  <si>
    <t>Ежемесячная выплата на детей в возрасте от трех до семи лет включительно</t>
  </si>
  <si>
    <t>02 3 01 R3020</t>
  </si>
  <si>
    <t>Ежемесячная выплата на детей в возрасте от трех до семи лет включительно, за счет средств областного бюджета</t>
  </si>
  <si>
    <t>02 3 01 R3021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</si>
  <si>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</si>
  <si>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76 1 00 С1481</t>
  </si>
  <si>
    <t>Мероприятия по обеспечению мобилизационной готовности экономики</t>
  </si>
  <si>
    <t>76 1 00 00000</t>
  </si>
  <si>
    <t>Выполнение других обязательств города Щигры</t>
  </si>
  <si>
    <t>76 0 00 00000</t>
  </si>
  <si>
    <t>Реализация государственных функций, связанных с общегосударственным управлением</t>
  </si>
  <si>
    <t>Мобилизационная подготовка экономики</t>
  </si>
  <si>
    <t>Национальная оборона</t>
  </si>
  <si>
    <t>Рз</t>
  </si>
  <si>
    <t>ПР</t>
  </si>
  <si>
    <t>ЦСР</t>
  </si>
  <si>
    <t>ВР</t>
  </si>
  <si>
    <t>4</t>
  </si>
  <si>
    <t>5</t>
  </si>
  <si>
    <t>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</si>
  <si>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</si>
  <si>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</si>
  <si>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</si>
  <si>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</si>
  <si>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06</t>
  </si>
  <si>
    <t>Резервные фонды</t>
  </si>
  <si>
    <t>11</t>
  </si>
  <si>
    <t>Приложение №9</t>
  </si>
  <si>
    <t>Жилищно-коммунальное хозяйство</t>
  </si>
  <si>
    <t xml:space="preserve">Сумма
</t>
  </si>
  <si>
    <t>ДОХОДЫ, ВСЕГО</t>
  </si>
  <si>
    <t>Приложение №12</t>
  </si>
  <si>
    <t>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</t>
  </si>
  <si>
    <t>на выплату ежемесячного пособия на ребенка</t>
  </si>
  <si>
    <t>на содержание работников, осуществляющих переданные государственные полномочия в сфере социальной защиты населения</t>
  </si>
  <si>
    <t>003</t>
  </si>
  <si>
    <t>Ревизионная комиссия города Щигры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</si>
  <si>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</si>
  <si>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</si>
  <si>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</si>
  <si>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</si>
  <si>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Другие вопросы в области национальной экономики</t>
  </si>
  <si>
    <t>01 00 00 00 00 0000 000</t>
  </si>
  <si>
    <t>08</t>
  </si>
  <si>
    <t>10</t>
  </si>
  <si>
    <t>Ежемесячное пособие на ребенка</t>
  </si>
  <si>
    <t>07 3 00 00000</t>
  </si>
  <si>
    <t>03 0 00 00000</t>
  </si>
  <si>
    <t>03 2 00 00000</t>
  </si>
  <si>
    <t>03 2 01 00000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</si>
  <si>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</si>
  <si>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</si>
  <si>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</si>
  <si>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</si>
  <si>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</si>
  <si>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</si>
  <si>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</si>
  <si>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</si>
  <si>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</si>
  <si>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Приложение №8</t>
  </si>
  <si>
    <t>2 02 20000 00 0000 150</t>
  </si>
  <si>
    <t>2 02 29999 04 0000 150</t>
  </si>
  <si>
    <t>Доходы от оказания платных услуг и компенсации затрат государства</t>
  </si>
  <si>
    <t>Другие вопросы в области социальной политики</t>
  </si>
  <si>
    <t>001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</si>
  <si>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"</t>
  </si>
  <si>
    <t>Субвенции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</si>
  <si>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в т.ч. на организацию мероприятий при осуществлении деятельности по обращению с животными без владельцев</t>
  </si>
  <si>
    <t>на содержание работников, осуществляющих отдельные государственные полномочия по организации при осуществлении деятельности по обращению с животными без владельцев</t>
  </si>
  <si>
    <t>Изменение остатков средств на счетах по учету средств бюджетов</t>
  </si>
  <si>
    <t>01 05 02 01 00 0000 510</t>
  </si>
  <si>
    <t>Уменьшение остатков средств бюджетов</t>
  </si>
  <si>
    <t>руб.</t>
  </si>
  <si>
    <t>Обеспечение функционирования главы муниципального образования</t>
  </si>
  <si>
    <t>Подпрограмма "Содействие временной занятости отдельных категорий граждан" муниципальной программы "Содействие занятости населения в городе Щигры Курской области"</t>
  </si>
  <si>
    <t>Подпрограмма "Развитие институтов рынка труда" муниципальной программы "Содействие занятости населения в городе Щигры Курской области"</t>
  </si>
  <si>
    <t>Подпрограмма "Наследие" муниципальной программы "Развитие культуры в городе Щигры"</t>
  </si>
  <si>
    <t>Подпрограмма "Искусство"  муниципальной программы "Развитие культуры в городе Щигры"</t>
  </si>
  <si>
    <t>Основное мероприятие "Обеспечение деятельности и выполнение функций отдела по опеке и попечительству администрации города Щигры Курской области"</t>
  </si>
  <si>
    <t>Обеспечение мер социальной поддержки ветеранов труда</t>
  </si>
  <si>
    <t>Обеспечение мер социальной поддержки тружеников тыла</t>
  </si>
  <si>
    <t>Содержание ребенка в семье опекуна и приемной семье, а также вознаграждение, причитающееся приемному родителю</t>
  </si>
  <si>
    <t>100</t>
  </si>
  <si>
    <t>Общегосударственные вопросы</t>
  </si>
  <si>
    <t>Основное мероприятие"Обеспечение деятельности и выполнение функций Финансово-экономического управления администрации города Щигры"</t>
  </si>
  <si>
    <t>02 3 03 00000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</si>
  <si>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</si>
  <si>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Сумма на 2023 год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</si>
  <si>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</si>
  <si>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1 11 05012 04 0000 120</t>
  </si>
  <si>
    <t>1 11 05070 00 0000 120</t>
  </si>
  <si>
    <t>Приложение №14</t>
  </si>
  <si>
    <t>Направление (цель) гарантирования</t>
  </si>
  <si>
    <t>Объем гарантий, рублей</t>
  </si>
  <si>
    <t>Объем бюджетных ассигнований на исполнение гарантий по возможным гарантийным случаям в 2023 году,  рублей</t>
  </si>
  <si>
    <t>Объем привлечения средств в 2023 году (рублей)</t>
  </si>
  <si>
    <t>Объем погашения средств в 2023 году (рублей)</t>
  </si>
  <si>
    <t>2023г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</si>
  <si>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</si>
  <si>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</si>
  <si>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</si>
  <si>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</si>
  <si>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</si>
  <si>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</si>
  <si>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</si>
  <si>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1 13 01990 00 0000 130</t>
  </si>
  <si>
    <t xml:space="preserve">Прочие доходы от оказания платных услуг (работ) получателями средств бюджетов городских округов 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</si>
  <si>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</si>
  <si>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</si>
  <si>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</si>
  <si>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</si>
  <si>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</si>
  <si>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</si>
  <si>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</si>
  <si>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Подпрограмма  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</si>
  <si>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</si>
  <si>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Непрограммная деятельность органов местного самоуправления</t>
  </si>
  <si>
    <t>11 1 02 S3390</t>
  </si>
  <si>
    <t>Реализация мероприятий по  капитальному ремонту, ремонту и содержанию автомобильных дорог общего пользования местного значения</t>
  </si>
  <si>
    <t>Осуществление инженерных мероприятий, направленных на совершенствование организации движения транспортных средств и пешеходов</t>
  </si>
  <si>
    <t>15 0 00 00000</t>
  </si>
  <si>
    <t>Обеспечение условий для развития малого и среднего предпринимательства на территории муниципального образования</t>
  </si>
  <si>
    <t>15 0 01 00000</t>
  </si>
  <si>
    <t>Финансовая и имущественная поддержка субъектов малого и среднего предпринимательства</t>
  </si>
  <si>
    <t>Организация отдыха детей в каникулярное время</t>
  </si>
  <si>
    <t>08 1 01 13540</t>
  </si>
  <si>
    <t>Непрограммные расходы органов местного самоуправления</t>
  </si>
  <si>
    <t>Основное мероприятие "Обеспечение деятельности и выполнение функций отдела образования администрации города Щигры"</t>
  </si>
  <si>
    <t>21 0 00 00000</t>
  </si>
  <si>
    <t>03 1 03 00000</t>
  </si>
  <si>
    <t>03 1 03 С1402</t>
  </si>
  <si>
    <t>Основное мероприятие "Поддержка творческих инициатив населения, творческого потенциала, а также организаций в сфере культуры в городе Щигры"</t>
  </si>
  <si>
    <t>Основное мероприятие "Оказание мер социальной поддержки ветеранам труда и труженикам тыла"</t>
  </si>
  <si>
    <t>02 2 01 13150</t>
  </si>
  <si>
    <t>02 2 01 13160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</si>
  <si>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</si>
  <si>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01 05 00 00 00 0000 600</t>
  </si>
  <si>
    <t>01 05 02 00 00 0000 600</t>
  </si>
  <si>
    <t>Уменьшение прочих остатков средств  бюджетов</t>
  </si>
  <si>
    <t>01 05 02 01 00 0000 610</t>
  </si>
  <si>
    <t>Уменьшение прочих остатков денежных средств  бюджетов</t>
  </si>
  <si>
    <t>01 05 02 01 04 0000 610</t>
  </si>
  <si>
    <t>Уменьшение  прочих остатков денежных средств   бюджетов городских округов</t>
  </si>
  <si>
    <t>05</t>
  </si>
  <si>
    <t>07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</si>
  <si>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</si>
  <si>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</si>
  <si>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</si>
  <si>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</si>
  <si>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</si>
  <si>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</si>
  <si>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</si>
  <si>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1 12 00000 00 00000 00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</si>
  <si>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</si>
  <si>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</si>
  <si>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</si>
  <si>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</si>
  <si>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1 16 01143 01 0000 140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</si>
  <si>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</si>
  <si>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</si>
  <si>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 пункте 6 статьи 46 Бюджетного кодекса Российской Федерации),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</si>
  <si>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</si>
  <si>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</si>
  <si>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1 16 10123 01 0000 140</t>
  </si>
  <si>
    <t>1 16 01053 01 0000 140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</si>
  <si>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</si>
  <si>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</si>
  <si>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</si>
  <si>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1 16 10129 01 0000 140</t>
  </si>
  <si>
    <t>1 16 01203 01 0000 140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</si>
  <si>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</si>
  <si>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</si>
  <si>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№ п/п</t>
  </si>
  <si>
    <t>Виды долговых обязательств</t>
  </si>
  <si>
    <t xml:space="preserve">Предельный срок погашения  долговых обязательств                </t>
  </si>
  <si>
    <t>Бюджетные кредиты из других бюджетов бюджетной системы Российской Федерации всего, в том числе:</t>
  </si>
  <si>
    <t>71 0 00 00000</t>
  </si>
  <si>
    <t>71 1 00 00000</t>
  </si>
  <si>
    <t>71 1 00 С1402</t>
  </si>
  <si>
    <t>73 0 00 00000</t>
  </si>
  <si>
    <t>73 1 00 00000</t>
  </si>
  <si>
    <t>73 1 00 13480</t>
  </si>
  <si>
    <t>73 1 00 С1402</t>
  </si>
  <si>
    <t>14 0 00 00000</t>
  </si>
  <si>
    <t>14 3 00 00000</t>
  </si>
  <si>
    <t>14 3 01 С1402</t>
  </si>
  <si>
    <t>74 0 00 00000</t>
  </si>
  <si>
    <t>74 1 00 00000</t>
  </si>
  <si>
    <t>74 1 00 С1402</t>
  </si>
  <si>
    <t>78 0 00 00000</t>
  </si>
  <si>
    <t>78 1 00 00000</t>
  </si>
  <si>
    <t>Развитие рынка труда, повышение эффективности занятости населения</t>
  </si>
  <si>
    <t>Муниципальная программа"Содействие занятости населения  в городе  Щигры Курской области"</t>
  </si>
  <si>
    <t>03 3 E2 00000</t>
  </si>
  <si>
    <t>03 3 E2 54910</t>
  </si>
  <si>
    <t>07 2 F3 67483</t>
  </si>
  <si>
    <t>07 2 F3 67484</t>
  </si>
  <si>
    <t xml:space="preserve"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 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</si>
  <si>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</t>
  </si>
  <si>
    <t>Региональный проект "Формирование комфортной городской среды"</t>
  </si>
  <si>
    <t>Содержание работников, осуществляющих отдельные государственные полномочия по назначению и выплате ежемесячной денежной выплаты на ребенка  в возрасте от трех до семи лет включительно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</si>
  <si>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 на 2019-2023 годы"</t>
  </si>
  <si>
    <t>Подпрограмма "Проведение муниципальной политики в области имущественных и земельных отношений" муниципальной программы "Управление муниципальным имуществом и земельными ресурсами муниципального образования "город Щигры" Курской области на 2019-2023годы"</t>
  </si>
  <si>
    <t>Муниципальная программа "Профилактика наркомании и медико-социальная реабилитация больных наркоманией в городе Щигры на 2018-2023 годы"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</si>
  <si>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 на 2018-2023 годы"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</si>
  <si>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по профилактике безнадзорности и правонарушений несовершеннолетних"</t>
  </si>
  <si>
    <t>76 1 00 С1404</t>
  </si>
  <si>
    <t xml:space="preserve">77 2 00 00000 </t>
  </si>
  <si>
    <t>Мероприятия  по реализации проекта "Народный бюджет"</t>
  </si>
  <si>
    <t>Обеспечение проведения капитального ремонта муниципальных образовательных организаций</t>
  </si>
  <si>
    <t>03 2 04 S3050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</si>
  <si>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</si>
  <si>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</si>
  <si>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Национальная экономика</t>
  </si>
  <si>
    <t>Общеэкономические вопросы</t>
  </si>
  <si>
    <t>Приложение №3</t>
  </si>
  <si>
    <t>рублей</t>
  </si>
  <si>
    <t>Коды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</si>
  <si>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</si>
  <si>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</si>
  <si>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</si>
  <si>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</si>
  <si>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</si>
  <si>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Расходы на обеспечение деятельности (оказание услуг) муниципальных  учреждений</t>
  </si>
  <si>
    <t>Приложение №2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</si>
  <si>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</si>
  <si>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</si>
  <si>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</si>
  <si>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</si>
  <si>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</si>
  <si>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</si>
  <si>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</si>
  <si>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</si>
  <si>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</si>
  <si>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 xml:space="preserve">Строительство (реконструкция) автомобильных дорог общего пользования местного значения </t>
  </si>
  <si>
    <t>11 1 05 С1423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</si>
  <si>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</si>
  <si>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03 2 04 13090</t>
  </si>
  <si>
    <t>Реализация проекта "Народный бюджет" в Курской области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</si>
  <si>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</si>
  <si>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"Современная школа"</t>
  </si>
  <si>
    <t>Муниципальная программа "Социальная поддержка граждан в городе Щигры"</t>
  </si>
  <si>
    <t>Основное мероприятие «Участие в международных,межрегиональных и областных выставках, ярмарках, конкурсах, конференциях, семинарах, фестивалях»</t>
  </si>
  <si>
    <t>08 1 12 00000</t>
  </si>
  <si>
    <t>08 1 12 С1414</t>
  </si>
  <si>
    <t>Реализация мероприятий в сфере молодежной политики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</si>
  <si>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</si>
  <si>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Основное мероприятие "Обеспечение реализации комплекса мер, направленных на улучшение демографической ситуации в городе Щигры"</t>
  </si>
  <si>
    <t>02 3 01 11130</t>
  </si>
  <si>
    <t>02 3 02 00000</t>
  </si>
  <si>
    <t>02 3 02 13190</t>
  </si>
  <si>
    <t>Основное мероприятие "Финансовое обеспечение полномочий, переданных местным бюджетам на содержание работников, в сфере социальной защиты населения"</t>
  </si>
  <si>
    <t>02 1 02 00000</t>
  </si>
  <si>
    <t>02 1 02 13220</t>
  </si>
  <si>
    <t>Условно-утвержденные расходы</t>
  </si>
  <si>
    <t>Субвенции бюджетам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</si>
  <si>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</si>
  <si>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Содержание работников, осуществляющих отдельные государственные полномочия по организации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</si>
  <si>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</si>
  <si>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</si>
  <si>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</si>
  <si>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</si>
  <si>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</si>
  <si>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</si>
  <si>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2 02 35303 04 0000 150</t>
  </si>
  <si>
    <t>Прочие безвозмездные поступления в бюджеты городских округов</t>
  </si>
  <si>
    <t>2 07 04050 04 0000 180</t>
  </si>
  <si>
    <t>2 07 04000 04 0000 150</t>
  </si>
  <si>
    <t>ПРОЧИЕ БЕЗВОЗМЕЗДНЫЕ ПОСТУПЛЕНИЯ</t>
  </si>
  <si>
    <t>Субвенции бюджетам городских округов на проведение Всероссийской переписи населения 2020 года</t>
  </si>
  <si>
    <t>2 02 35469 04 0000 150</t>
  </si>
  <si>
    <t>Субвенции бюджетам на проведение Всероссийской переписи населения 2020 года</t>
  </si>
  <si>
    <t>2 02 35469 00 0000 150</t>
  </si>
  <si>
    <t>Субсидии местным бюджетам на озеленение территорий населенных пунктов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</si>
  <si>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</si>
  <si>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</si>
  <si>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</si>
  <si>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</si>
  <si>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</si>
  <si>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</si>
  <si>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</si>
  <si>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</si>
  <si>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</si>
  <si>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</si>
  <si>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</si>
  <si>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</si>
  <si>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</si>
  <si>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</si>
  <si>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</si>
  <si>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</si>
  <si>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</si>
  <si>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</si>
  <si>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</si>
  <si>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Доходы от оказания платных услуг (работ)</t>
  </si>
  <si>
    <t>1 13 01000 00 0000 130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</si>
  <si>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</si>
  <si>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</si>
  <si>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</si>
  <si>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</si>
  <si>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01 3 01 L4670</t>
  </si>
  <si>
    <t>Обеспечение развития и укрепления метериально-технической базы домов культуры в населенных пунктах с числом жителей до 50 тысяч человек</t>
  </si>
  <si>
    <t>07 3 02 S3290</t>
  </si>
  <si>
    <t>Обеспечение мероприятий по озеленению</t>
  </si>
  <si>
    <t>07 3 02 13290</t>
  </si>
  <si>
    <t>Озеленение</t>
  </si>
  <si>
    <t>77 2 00 54690</t>
  </si>
  <si>
    <t>Проведение Всероссийской  переписи населения 2020 года</t>
  </si>
  <si>
    <t xml:space="preserve"> 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</si>
  <si>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</si>
  <si>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</si>
  <si>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</si>
  <si>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</si>
  <si>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</si>
  <si>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</si>
  <si>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</si>
  <si>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</si>
  <si>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Прочие доходы от оказания платных услуг (работ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</si>
  <si>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</si>
  <si>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</si>
  <si>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</si>
  <si>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</si>
  <si>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имуществу,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</si>
  <si>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</si>
  <si>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</si>
  <si>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</si>
  <si>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</si>
  <si>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</si>
  <si>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</si>
  <si>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</si>
  <si>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</si>
  <si>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</si>
  <si>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</si>
  <si>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</si>
  <si>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</si>
  <si>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1 16 07000 01 0000 140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</si>
  <si>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</si>
  <si>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</si>
  <si>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</si>
  <si>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</si>
  <si>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</si>
  <si>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</si>
  <si>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</si>
  <si>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</si>
  <si>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1 17 05000 00 0000 180</t>
  </si>
  <si>
    <t>Прочие неналоговые доходы</t>
  </si>
  <si>
    <t>2 02 15002 00 0000 150</t>
  </si>
  <si>
    <t>Дотации бюджетам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</si>
  <si>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</si>
  <si>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</si>
  <si>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2 02 19999 00 0000 150</t>
  </si>
  <si>
    <t>Прочие дотации</t>
  </si>
  <si>
    <t>2 02 19999 04 0000 150</t>
  </si>
  <si>
    <t>Прочие дотации бюджетам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</si>
  <si>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</si>
  <si>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</si>
  <si>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</si>
  <si>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</si>
  <si>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</si>
  <si>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</si>
  <si>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77 2 00 51200</t>
  </si>
  <si>
    <t>Обеспечение первичных мер пожарной безопасности в границах населенных пунктов муниципальных образований</t>
  </si>
  <si>
    <t>13 2 01 С1460</t>
  </si>
  <si>
    <t>Основное мероприятие "Благоустройство территории общего пользования города Щигры Курской области"</t>
  </si>
  <si>
    <t>21 0 02 00000</t>
  </si>
  <si>
    <t>Обеспечение реализации программ формирования современной городской среды</t>
  </si>
  <si>
    <t>21 0 02 С5550</t>
  </si>
  <si>
    <t>03 2 E4 С1401</t>
  </si>
  <si>
    <t>ПРОГНОЗИРУЕМОЕ ПОСТУПЛЕНИЕ  ДОХОДОВ В БЮДЖЕТ ГОРОДА ЩИГРЫ В 2022 ГОДУ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</si>
  <si>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</si>
  <si>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</si>
  <si>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</si>
  <si>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</si>
  <si>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2 02 35082 00 0000 150</t>
  </si>
  <si>
    <t>2 02 35082 04 0000 150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</si>
  <si>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</si>
  <si>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</si>
  <si>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Сумма
2024 год</t>
  </si>
  <si>
    <t xml:space="preserve">от ..2021 №-6-РД </t>
  </si>
  <si>
    <t>Основное мероприятие "Создание на территории города Щигры комплексной системы обеспечения безопасности жизнедеятельности населения АПК «Безопасный город» "</t>
  </si>
  <si>
    <t>13 1 00 00000</t>
  </si>
  <si>
    <t>13 1 02 00000</t>
  </si>
  <si>
    <t>13 1 02 С1435</t>
  </si>
  <si>
    <t>Транспорт</t>
  </si>
  <si>
    <t>Подпрограмма "Развитие пассажирских перевозок в городе Щигры Курской области"</t>
  </si>
  <si>
    <t>Основное мероприятие "Содействие повышению доступности автомобильных перевозок населению города Щигры Курской области"</t>
  </si>
  <si>
    <t>Мероприятия по другим видам транспорта</t>
  </si>
  <si>
    <t>1100000000</t>
  </si>
  <si>
    <t>1130000000</t>
  </si>
  <si>
    <t>1130100000</t>
  </si>
  <si>
    <t>11301С1426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</si>
  <si>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</si>
  <si>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</si>
  <si>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ИСТОЧНИКИ  ФИНАНСИРОВАНИЯ ДЕФИЦИТА БЮДЖЕТА ГОРОДА ЩИГРЫ НА 2022 ГОД</t>
  </si>
  <si>
    <t xml:space="preserve">от ..2021 № -6-РД </t>
  </si>
  <si>
    <t>ПРОГНОЗИРУЕМОЕ ПОСТУПЛЕНИЕ  ДОХОДОВ В БЮДЖЕТ ГОРОДА ЩИГРЫ В 2023-2024 ГОДАХ</t>
  </si>
  <si>
    <t>Программа муниципальных внутренних заимствований муниципального образования
"город Щигры" на 2022 год</t>
  </si>
  <si>
    <t>Объем погашения средств
в 2022 г.(рублей)</t>
  </si>
  <si>
    <t>Программа муниципальных гарантий города Щигры на 2022 год</t>
  </si>
  <si>
    <t>от ..2021 № -6-РД</t>
  </si>
  <si>
    <t>1.2. Общий объем бюджетных ассигнований, предусмотренных на исполнение муниципальных гарантий города Щигры по возможным гарантийным случаям, в 2022 году</t>
  </si>
  <si>
    <t>Программа муниципальных гарантий города Щигры на 2023-2024 год</t>
  </si>
  <si>
    <t>1.1.Перечень подлежащих предоставлению муниципальных гарантий города Щигры в 2023-2024 годах</t>
  </si>
  <si>
    <t>1.2. Общий объем бюджетных ассигнований, предусмотренных на исполнение муниципальных гарантий города Щигры по возможным гарантийным случаям, в 2023-2024 годах</t>
  </si>
  <si>
    <t>Объем бюджетных ассигнований на исполнение гарантий по возможным гарантийным случаям в 2024 году,  рублей</t>
  </si>
  <si>
    <t>2024г</t>
  </si>
  <si>
    <t>Мероприятия по внесению в ЕГРН сведений о границах муниципальных образований и границах населенных пунктов</t>
  </si>
  <si>
    <t>77 2 00 S3600</t>
  </si>
  <si>
    <t>77 2 00 13600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</si>
  <si>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2023-2024 год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</si>
  <si>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</si>
  <si>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ИСТОЧНИКИ  ФИНАНСИРОВАНИЯ ДЕФИЦИТА БЮДЖЕТА ГОРОДА ЩИГРЫ НА 2023-2024  ГОДЫ</t>
  </si>
  <si>
    <t xml:space="preserve">от .. 2021 №-6-РД </t>
  </si>
  <si>
    <t>Программа муниципальных внутренних заимствований
муниципального образования "город Щигры" на плановый период 2023 и 2024 годов</t>
  </si>
  <si>
    <t>Объем погашения средств в 2024 году (рублей)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</si>
  <si>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2022 год</t>
  </si>
  <si>
    <t>1.1.Перечень подлежащих предоставлению муниципальных гарантий города Щигры в 2022 году</t>
  </si>
  <si>
    <t>Приложение № 6</t>
  </si>
  <si>
    <t>02 3 04 00000</t>
  </si>
  <si>
    <t>02 3 04 R0821</t>
  </si>
  <si>
    <t>Ведомственная структура расходов бюджета города Щигры на 2022 год</t>
  </si>
  <si>
    <t>11 3 00 00000</t>
  </si>
  <si>
    <t>11 3 01 00000</t>
  </si>
  <si>
    <t>11 3 01 С1426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</si>
  <si>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2022 год</t>
  </si>
  <si>
    <t>Ведомственная структура расходов бюджета города Щигры на 2023-2024 год</t>
  </si>
  <si>
    <t>Сумма на 2024 год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</si>
  <si>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2023-2024 год</t>
  </si>
  <si>
    <t>от ..2021 № 6-РД</t>
  </si>
  <si>
    <t>от ..2021 №-6-РД</t>
  </si>
  <si>
    <t xml:space="preserve">от ..2021 №  -6-РД </t>
  </si>
  <si>
    <t>Субсидии местным бюджетам на мероприятия по внесению в ЕГРН сведений о границах муниципальных образований и границах населенных пунктов</t>
  </si>
  <si>
    <t>13 1 01 С1401</t>
  </si>
  <si>
    <t>Основное мероприятие "Обеспечение эффективного повседневного функционирования системы гражданской обороны, защиты населения и территории от чрезвычайных ситуаций и обеспечения безопасности людей на водных объектах"</t>
  </si>
  <si>
    <t>Подпрограмма "Пожарная безопасность и защита населения"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</si>
  <si>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"Повышение степени пожарной безопасности"</t>
  </si>
  <si>
    <t>02 3 04 0000</t>
  </si>
  <si>
    <t>13 1 01 00000</t>
  </si>
  <si>
    <t xml:space="preserve">Основное мероприятие  "Улучшение демографической ситуации, совершенствование социальной поддержки семьи и детей" </t>
  </si>
  <si>
    <t>Объем привлечения средств в 2024 году (рублей)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</si>
</sst>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"/>
    <numFmt numFmtId="182" formatCode="0.000"/>
    <numFmt numFmtId="183" formatCode="0.0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0.00000"/>
    <numFmt numFmtId="206" formatCode="0000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22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3"/>
      <name val="Times New Roman"/>
      <family val="1"/>
    </font>
    <font>
      <sz val="10"/>
      <color indexed="12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2"/>
    </font>
    <font>
      <sz val="10"/>
      <color rgb="FF22272F"/>
      <name val="Arial"/>
      <family val="2"/>
    </font>
    <font>
      <sz val="10"/>
      <color rgb="FFFF0000"/>
      <name val="Arial"/>
      <family val="2"/>
    </font>
    <font>
      <sz val="11"/>
      <color rgb="FF22272F"/>
      <name val="Times New Roman"/>
      <family val="1"/>
    </font>
    <font>
      <sz val="10"/>
      <color rgb="FF6600FF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 style="thin"/>
      <top style="hair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top" wrapText="1"/>
      <protection/>
    </xf>
    <xf numFmtId="0" fontId="32" fillId="0" borderId="0">
      <alignment vertical="top" wrapText="1"/>
      <protection/>
    </xf>
    <xf numFmtId="0" fontId="32" fillId="0" borderId="0">
      <alignment vertical="top" wrapText="1"/>
      <protection/>
    </xf>
    <xf numFmtId="0" fontId="32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32" fillId="0" borderId="0">
      <alignment vertical="top" wrapText="1"/>
      <protection/>
    </xf>
    <xf numFmtId="0" fontId="4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42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62" applyFont="1" applyBorder="1" applyAlignment="1">
      <alignment vertical="center" wrapText="1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right"/>
      <protection/>
    </xf>
    <xf numFmtId="49" fontId="0" fillId="0" borderId="0" xfId="62" applyNumberFormat="1" applyFont="1" applyAlignment="1">
      <alignment horizontal="right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top" wrapText="1"/>
      <protection/>
    </xf>
    <xf numFmtId="0" fontId="20" fillId="0" borderId="12" xfId="62" applyFont="1" applyBorder="1" applyAlignment="1">
      <alignment vertical="center" wrapText="1"/>
      <protection/>
    </xf>
    <xf numFmtId="0" fontId="0" fillId="0" borderId="10" xfId="62" applyFont="1" applyBorder="1" applyAlignment="1">
      <alignment vertical="top" wrapText="1"/>
      <protection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25" fillId="0" borderId="10" xfId="56" applyFont="1" applyFill="1" applyBorder="1" applyAlignment="1">
      <alignment horizontal="left" wrapText="1"/>
      <protection/>
    </xf>
    <xf numFmtId="0" fontId="23" fillId="0" borderId="10" xfId="56" applyFont="1" applyFill="1" applyBorder="1" applyAlignment="1">
      <alignment horizontal="left" wrapText="1"/>
      <protection/>
    </xf>
    <xf numFmtId="205" fontId="0" fillId="0" borderId="0" xfId="62" applyNumberFormat="1" applyFont="1">
      <alignment/>
      <protection/>
    </xf>
    <xf numFmtId="1" fontId="0" fillId="0" borderId="0" xfId="62" applyNumberFormat="1" applyFo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0" fontId="0" fillId="0" borderId="10" xfId="0" applyFont="1" applyBorder="1" applyAlignment="1">
      <alignment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wrapText="1"/>
    </xf>
    <xf numFmtId="0" fontId="23" fillId="25" borderId="10" xfId="0" applyFont="1" applyFill="1" applyBorder="1" applyAlignment="1">
      <alignment wrapText="1"/>
    </xf>
    <xf numFmtId="0" fontId="0" fillId="24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wrapText="1"/>
    </xf>
    <xf numFmtId="0" fontId="25" fillId="25" borderId="10" xfId="56" applyFont="1" applyFill="1" applyBorder="1" applyAlignment="1">
      <alignment horizontal="left" wrapText="1"/>
      <protection/>
    </xf>
    <xf numFmtId="206" fontId="0" fillId="25" borderId="10" xfId="54" applyNumberFormat="1" applyFont="1" applyFill="1" applyBorder="1" applyAlignment="1" applyProtection="1">
      <alignment horizontal="left" wrapText="1"/>
      <protection hidden="1"/>
    </xf>
    <xf numFmtId="0" fontId="0" fillId="25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3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top" wrapText="1"/>
    </xf>
    <xf numFmtId="180" fontId="0" fillId="0" borderId="15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vertical="top" wrapText="1"/>
    </xf>
    <xf numFmtId="4" fontId="0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1" fontId="21" fillId="0" borderId="12" xfId="62" applyNumberFormat="1" applyFont="1" applyBorder="1" applyAlignment="1">
      <alignment horizontal="center" vertical="center" wrapText="1"/>
      <protection/>
    </xf>
    <xf numFmtId="1" fontId="21" fillId="0" borderId="10" xfId="62" applyNumberFormat="1" applyFont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/>
    </xf>
    <xf numFmtId="0" fontId="2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left" wrapText="1" indent="2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Continuous"/>
    </xf>
    <xf numFmtId="49" fontId="0" fillId="0" borderId="0" xfId="0" applyNumberFormat="1" applyFont="1" applyFill="1" applyAlignment="1">
      <alignment horizontal="right"/>
    </xf>
    <xf numFmtId="0" fontId="0" fillId="0" borderId="18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 indent="2"/>
    </xf>
    <xf numFmtId="4" fontId="20" fillId="0" borderId="17" xfId="0" applyNumberFormat="1" applyFon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right" vertical="top" wrapText="1"/>
    </xf>
    <xf numFmtId="0" fontId="0" fillId="24" borderId="10" xfId="0" applyNumberFormat="1" applyFont="1" applyFill="1" applyBorder="1" applyAlignment="1">
      <alignment vertical="top" wrapText="1"/>
    </xf>
    <xf numFmtId="0" fontId="23" fillId="0" borderId="13" xfId="59" applyFont="1" applyFill="1" applyBorder="1" applyAlignment="1">
      <alignment vertical="top" wrapText="1"/>
      <protection/>
    </xf>
    <xf numFmtId="0" fontId="23" fillId="0" borderId="10" xfId="58" applyFont="1" applyFill="1" applyBorder="1" applyAlignment="1">
      <alignment horizontal="center"/>
      <protection/>
    </xf>
    <xf numFmtId="0" fontId="34" fillId="0" borderId="10" xfId="0" applyFont="1" applyBorder="1" applyAlignment="1">
      <alignment wrapText="1"/>
    </xf>
    <xf numFmtId="206" fontId="0" fillId="0" borderId="10" xfId="54" applyNumberFormat="1" applyFont="1" applyFill="1" applyBorder="1" applyAlignment="1" applyProtection="1">
      <alignment horizontal="left" wrapText="1"/>
      <protection hidden="1"/>
    </xf>
    <xf numFmtId="0" fontId="25" fillId="0" borderId="10" xfId="58" applyFont="1" applyFill="1" applyBorder="1" applyAlignment="1">
      <alignment horizontal="left" wrapText="1"/>
      <protection/>
    </xf>
    <xf numFmtId="0" fontId="23" fillId="0" borderId="10" xfId="58" applyFont="1" applyFill="1" applyBorder="1" applyAlignment="1">
      <alignment horizontal="center" wrapText="1"/>
      <protection/>
    </xf>
    <xf numFmtId="4" fontId="25" fillId="0" borderId="10" xfId="58" applyNumberFormat="1" applyFont="1" applyFill="1" applyBorder="1" applyAlignment="1">
      <alignment horizontal="right"/>
      <protection/>
    </xf>
    <xf numFmtId="0" fontId="23" fillId="0" borderId="10" xfId="58" applyFont="1" applyFill="1" applyBorder="1" applyAlignment="1">
      <alignment horizontal="left" wrapText="1"/>
      <protection/>
    </xf>
    <xf numFmtId="0" fontId="24" fillId="0" borderId="10" xfId="58" applyFont="1" applyFill="1" applyBorder="1" applyAlignment="1">
      <alignment horizontal="left" wrapText="1"/>
      <protection/>
    </xf>
    <xf numFmtId="4" fontId="23" fillId="0" borderId="10" xfId="58" applyNumberFormat="1" applyFont="1" applyFill="1" applyBorder="1" applyAlignment="1">
      <alignment horizontal="right"/>
      <protection/>
    </xf>
    <xf numFmtId="0" fontId="0" fillId="0" borderId="0" xfId="62" applyFont="1" applyFill="1">
      <alignment/>
      <protection/>
    </xf>
    <xf numFmtId="0" fontId="20" fillId="0" borderId="16" xfId="0" applyFont="1" applyBorder="1" applyAlignment="1">
      <alignment vertical="top" wrapText="1"/>
    </xf>
    <xf numFmtId="0" fontId="23" fillId="0" borderId="19" xfId="58" applyFont="1" applyFill="1" applyBorder="1" applyAlignment="1">
      <alignment horizontal="left" wrapText="1"/>
      <protection/>
    </xf>
    <xf numFmtId="0" fontId="23" fillId="0" borderId="19" xfId="58" applyFont="1" applyFill="1" applyBorder="1" applyAlignment="1">
      <alignment horizontal="center" wrapText="1"/>
      <protection/>
    </xf>
    <xf numFmtId="0" fontId="23" fillId="25" borderId="10" xfId="58" applyFont="1" applyFill="1" applyBorder="1" applyAlignment="1">
      <alignment horizontal="center" wrapText="1"/>
      <protection/>
    </xf>
    <xf numFmtId="0" fontId="25" fillId="0" borderId="10" xfId="58" applyFont="1" applyFill="1" applyBorder="1" applyAlignment="1">
      <alignment horizontal="center"/>
      <protection/>
    </xf>
    <xf numFmtId="0" fontId="23" fillId="25" borderId="19" xfId="58" applyFont="1" applyFill="1" applyBorder="1" applyAlignment="1">
      <alignment horizontal="center" wrapText="1"/>
      <protection/>
    </xf>
    <xf numFmtId="0" fontId="23" fillId="0" borderId="19" xfId="58" applyFont="1" applyFill="1" applyBorder="1" applyAlignment="1">
      <alignment horizontal="center"/>
      <protection/>
    </xf>
    <xf numFmtId="49" fontId="23" fillId="0" borderId="10" xfId="58" applyNumberFormat="1" applyFont="1" applyFill="1" applyBorder="1" applyAlignment="1">
      <alignment horizontal="center" wrapText="1"/>
      <protection/>
    </xf>
    <xf numFmtId="0" fontId="25" fillId="25" borderId="10" xfId="58" applyFont="1" applyFill="1" applyBorder="1" applyAlignment="1">
      <alignment horizontal="left" wrapText="1"/>
      <protection/>
    </xf>
    <xf numFmtId="0" fontId="25" fillId="25" borderId="10" xfId="58" applyFont="1" applyFill="1" applyBorder="1" applyAlignment="1">
      <alignment horizontal="center" wrapText="1"/>
      <protection/>
    </xf>
    <xf numFmtId="0" fontId="25" fillId="25" borderId="10" xfId="58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wrapText="1"/>
    </xf>
    <xf numFmtId="0" fontId="0" fillId="0" borderId="0" xfId="0" applyFont="1" applyAlignment="1">
      <alignment horizontal="centerContinuous"/>
    </xf>
    <xf numFmtId="4" fontId="0" fillId="0" borderId="14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5" xfId="0" applyFont="1" applyFill="1" applyBorder="1" applyAlignment="1">
      <alignment horizontal="justify"/>
    </xf>
    <xf numFmtId="0" fontId="0" fillId="0" borderId="0" xfId="60" applyFont="1">
      <alignment/>
      <protection/>
    </xf>
    <xf numFmtId="49" fontId="0" fillId="0" borderId="0" xfId="60" applyNumberFormat="1" applyFont="1" applyAlignment="1">
      <alignment horizontal="right"/>
      <protection/>
    </xf>
    <xf numFmtId="49" fontId="0" fillId="0" borderId="0" xfId="60" applyNumberFormat="1" applyFont="1" applyAlignment="1">
      <alignment horizontal="centerContinuous" wrapText="1"/>
      <protection/>
    </xf>
    <xf numFmtId="49" fontId="0" fillId="0" borderId="0" xfId="60" applyNumberFormat="1" applyFont="1" applyAlignment="1">
      <alignment horizontal="center"/>
      <protection/>
    </xf>
    <xf numFmtId="49" fontId="0" fillId="0" borderId="0" xfId="60" applyNumberFormat="1" applyFont="1">
      <alignment/>
      <protection/>
    </xf>
    <xf numFmtId="49" fontId="19" fillId="0" borderId="14" xfId="60" applyNumberFormat="1" applyFont="1" applyBorder="1" applyAlignment="1">
      <alignment horizontal="center" vertical="center" wrapText="1"/>
      <protection/>
    </xf>
    <xf numFmtId="49" fontId="0" fillId="0" borderId="13" xfId="60" applyNumberFormat="1" applyFont="1" applyBorder="1" applyAlignment="1">
      <alignment vertical="top" wrapText="1"/>
      <protection/>
    </xf>
    <xf numFmtId="49" fontId="0" fillId="0" borderId="16" xfId="60" applyNumberFormat="1" applyFont="1" applyBorder="1" applyAlignment="1">
      <alignment vertical="top" wrapText="1"/>
      <protection/>
    </xf>
    <xf numFmtId="49" fontId="20" fillId="0" borderId="0" xfId="60" applyNumberFormat="1" applyFont="1" applyAlignment="1">
      <alignment horizontal="center"/>
      <protection/>
    </xf>
    <xf numFmtId="49" fontId="20" fillId="0" borderId="0" xfId="60" applyNumberFormat="1" applyFont="1" applyAlignment="1">
      <alignment horizontal="centerContinuous" wrapText="1"/>
      <protection/>
    </xf>
    <xf numFmtId="49" fontId="0" fillId="0" borderId="17" xfId="60" applyNumberFormat="1" applyFont="1" applyBorder="1" applyAlignment="1">
      <alignment vertical="top" wrapText="1"/>
      <protection/>
    </xf>
    <xf numFmtId="49" fontId="0" fillId="0" borderId="17" xfId="60" applyNumberFormat="1" applyFont="1" applyBorder="1" applyAlignment="1">
      <alignment horizontal="center" vertical="top" wrapText="1"/>
      <protection/>
    </xf>
    <xf numFmtId="0" fontId="37" fillId="0" borderId="0" xfId="60" applyFont="1">
      <alignment/>
      <protection/>
    </xf>
    <xf numFmtId="49" fontId="19" fillId="0" borderId="21" xfId="60" applyNumberFormat="1" applyFont="1" applyBorder="1" applyAlignment="1">
      <alignment horizontal="centerContinuous" vertical="center" wrapText="1"/>
      <protection/>
    </xf>
    <xf numFmtId="49" fontId="19" fillId="0" borderId="22" xfId="60" applyNumberFormat="1" applyFont="1" applyBorder="1" applyAlignment="1">
      <alignment horizontal="centerContinuous" vertical="center" wrapText="1"/>
      <protection/>
    </xf>
    <xf numFmtId="0" fontId="0" fillId="0" borderId="14" xfId="0" applyFont="1" applyFill="1" applyBorder="1" applyAlignment="1">
      <alignment horizontal="justify"/>
    </xf>
    <xf numFmtId="4" fontId="0" fillId="0" borderId="15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1" fillId="0" borderId="10" xfId="56" applyFont="1" applyFill="1" applyBorder="1" applyAlignment="1">
      <alignment horizontal="left" wrapText="1"/>
      <protection/>
    </xf>
    <xf numFmtId="0" fontId="0" fillId="0" borderId="10" xfId="58" applyFont="1" applyFill="1" applyBorder="1" applyAlignment="1">
      <alignment horizontal="center" wrapText="1"/>
      <protection/>
    </xf>
    <xf numFmtId="4" fontId="0" fillId="0" borderId="10" xfId="58" applyNumberFormat="1" applyFont="1" applyFill="1" applyBorder="1" applyAlignment="1">
      <alignment horizontal="right"/>
      <protection/>
    </xf>
    <xf numFmtId="0" fontId="0" fillId="0" borderId="10" xfId="58" applyFont="1" applyFill="1" applyBorder="1" applyAlignment="1">
      <alignment horizontal="left" wrapText="1"/>
      <protection/>
    </xf>
    <xf numFmtId="0" fontId="20" fillId="0" borderId="10" xfId="58" applyFont="1" applyFill="1" applyBorder="1" applyAlignment="1">
      <alignment horizontal="left" wrapText="1"/>
      <protection/>
    </xf>
    <xf numFmtId="0" fontId="21" fillId="0" borderId="10" xfId="58" applyFont="1" applyFill="1" applyBorder="1" applyAlignment="1">
      <alignment horizontal="left" wrapText="1"/>
      <protection/>
    </xf>
    <xf numFmtId="0" fontId="21" fillId="0" borderId="10" xfId="58" applyFont="1" applyFill="1" applyBorder="1" applyAlignment="1">
      <alignment horizontal="center"/>
      <protection/>
    </xf>
    <xf numFmtId="4" fontId="21" fillId="0" borderId="10" xfId="58" applyNumberFormat="1" applyFont="1" applyFill="1" applyBorder="1" applyAlignment="1">
      <alignment horizontal="right"/>
      <protection/>
    </xf>
    <xf numFmtId="0" fontId="0" fillId="0" borderId="12" xfId="62" applyFont="1" applyBorder="1" applyAlignment="1">
      <alignment horizontal="center" vertical="top" wrapText="1"/>
      <protection/>
    </xf>
    <xf numFmtId="4" fontId="23" fillId="0" borderId="19" xfId="58" applyNumberFormat="1" applyFont="1" applyFill="1" applyBorder="1" applyAlignment="1">
      <alignment horizontal="right"/>
      <protection/>
    </xf>
    <xf numFmtId="49" fontId="23" fillId="0" borderId="12" xfId="58" applyNumberFormat="1" applyFont="1" applyFill="1" applyBorder="1" applyAlignment="1">
      <alignment horizontal="center" wrapText="1"/>
      <protection/>
    </xf>
    <xf numFmtId="0" fontId="23" fillId="0" borderId="12" xfId="58" applyFont="1" applyFill="1" applyBorder="1" applyAlignment="1">
      <alignment horizontal="center" wrapText="1"/>
      <protection/>
    </xf>
    <xf numFmtId="0" fontId="23" fillId="0" borderId="12" xfId="58" applyFont="1" applyFill="1" applyBorder="1" applyAlignment="1">
      <alignment horizontal="center"/>
      <protection/>
    </xf>
    <xf numFmtId="4" fontId="23" fillId="0" borderId="12" xfId="58" applyNumberFormat="1" applyFont="1" applyFill="1" applyBorder="1" applyAlignment="1">
      <alignment horizontal="right"/>
      <protection/>
    </xf>
    <xf numFmtId="49" fontId="23" fillId="0" borderId="19" xfId="58" applyNumberFormat="1" applyFont="1" applyFill="1" applyBorder="1" applyAlignment="1">
      <alignment horizontal="center" wrapText="1"/>
      <protection/>
    </xf>
    <xf numFmtId="49" fontId="0" fillId="0" borderId="10" xfId="61" applyNumberFormat="1" applyFont="1" applyBorder="1" applyAlignment="1">
      <alignment horizontal="center" vertical="top" wrapText="1"/>
      <protection/>
    </xf>
    <xf numFmtId="49" fontId="0" fillId="0" borderId="10" xfId="61" applyNumberFormat="1" applyFont="1" applyBorder="1" applyAlignment="1">
      <alignment vertical="top" wrapText="1"/>
      <protection/>
    </xf>
    <xf numFmtId="0" fontId="0" fillId="0" borderId="19" xfId="62" applyFont="1" applyBorder="1" applyAlignment="1">
      <alignment horizontal="center" vertical="top" wrapText="1"/>
      <protection/>
    </xf>
    <xf numFmtId="0" fontId="0" fillId="0" borderId="19" xfId="62" applyFont="1" applyBorder="1" applyAlignment="1">
      <alignment vertical="top" wrapText="1"/>
      <protection/>
    </xf>
    <xf numFmtId="0" fontId="34" fillId="0" borderId="14" xfId="0" applyFont="1" applyFill="1" applyBorder="1" applyAlignment="1">
      <alignment/>
    </xf>
    <xf numFmtId="0" fontId="34" fillId="0" borderId="0" xfId="0" applyFont="1" applyFill="1" applyAlignment="1">
      <alignment wrapText="1"/>
    </xf>
    <xf numFmtId="0" fontId="34" fillId="0" borderId="14" xfId="0" applyFont="1" applyFill="1" applyBorder="1" applyAlignment="1">
      <alignment wrapText="1"/>
    </xf>
    <xf numFmtId="0" fontId="24" fillId="0" borderId="0" xfId="57" applyFont="1" applyFill="1" applyAlignment="1">
      <alignment horizontal="center" vertic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4" fontId="23" fillId="0" borderId="0" xfId="57" applyNumberFormat="1" applyFont="1" applyFill="1" applyAlignment="1">
      <alignment horizontal="right" vertical="top"/>
      <protection/>
    </xf>
    <xf numFmtId="0" fontId="23" fillId="0" borderId="0" xfId="57" applyFont="1" applyFill="1" applyAlignment="1">
      <alignment vertical="top" wrapText="1"/>
      <protection/>
    </xf>
    <xf numFmtId="0" fontId="23" fillId="0" borderId="0" xfId="57" applyFont="1" applyFill="1" applyAlignment="1">
      <alignment horizontal="center" vertical="center" wrapText="1"/>
      <protection/>
    </xf>
    <xf numFmtId="206" fontId="0" fillId="0" borderId="13" xfId="54" applyNumberFormat="1" applyFont="1" applyFill="1" applyBorder="1" applyAlignment="1" applyProtection="1">
      <alignment horizontal="left" wrapText="1"/>
      <protection hidden="1"/>
    </xf>
    <xf numFmtId="0" fontId="23" fillId="0" borderId="13" xfId="58" applyFont="1" applyFill="1" applyBorder="1" applyAlignment="1">
      <alignment horizontal="center" wrapText="1"/>
      <protection/>
    </xf>
    <xf numFmtId="0" fontId="23" fillId="0" borderId="13" xfId="58" applyFont="1" applyFill="1" applyBorder="1" applyAlignment="1">
      <alignment horizontal="center"/>
      <protection/>
    </xf>
    <xf numFmtId="0" fontId="27" fillId="0" borderId="13" xfId="58" applyFont="1" applyFill="1" applyBorder="1" applyAlignment="1">
      <alignment wrapText="1"/>
      <protection/>
    </xf>
    <xf numFmtId="0" fontId="23" fillId="0" borderId="13" xfId="58" applyFont="1" applyFill="1" applyBorder="1" applyAlignment="1">
      <alignment horizontal="left" wrapText="1"/>
      <protection/>
    </xf>
    <xf numFmtId="0" fontId="0" fillId="0" borderId="13" xfId="58" applyFont="1" applyFill="1" applyBorder="1" applyAlignment="1">
      <alignment wrapText="1"/>
      <protection/>
    </xf>
    <xf numFmtId="0" fontId="0" fillId="0" borderId="10" xfId="58" applyFont="1" applyFill="1" applyBorder="1" applyAlignment="1">
      <alignment horizontal="center"/>
      <protection/>
    </xf>
    <xf numFmtId="0" fontId="0" fillId="0" borderId="19" xfId="58" applyFont="1" applyFill="1" applyBorder="1" applyAlignment="1">
      <alignment horizontal="left" wrapText="1"/>
      <protection/>
    </xf>
    <xf numFmtId="0" fontId="0" fillId="0" borderId="19" xfId="58" applyFont="1" applyFill="1" applyBorder="1" applyAlignment="1">
      <alignment horizontal="center"/>
      <protection/>
    </xf>
    <xf numFmtId="4" fontId="0" fillId="0" borderId="19" xfId="58" applyNumberFormat="1" applyFont="1" applyFill="1" applyBorder="1" applyAlignment="1">
      <alignment horizontal="right"/>
      <protection/>
    </xf>
    <xf numFmtId="49" fontId="0" fillId="0" borderId="12" xfId="58" applyNumberFormat="1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/>
      <protection/>
    </xf>
    <xf numFmtId="4" fontId="0" fillId="0" borderId="12" xfId="58" applyNumberFormat="1" applyFont="1" applyFill="1" applyBorder="1" applyAlignment="1">
      <alignment horizontal="right"/>
      <protection/>
    </xf>
    <xf numFmtId="49" fontId="0" fillId="0" borderId="10" xfId="58" applyNumberFormat="1" applyFont="1" applyFill="1" applyBorder="1" applyAlignment="1">
      <alignment horizontal="center" wrapText="1"/>
      <protection/>
    </xf>
    <xf numFmtId="49" fontId="0" fillId="0" borderId="19" xfId="58" applyNumberFormat="1" applyFont="1" applyFill="1" applyBorder="1" applyAlignment="1">
      <alignment horizontal="center" wrapText="1"/>
      <protection/>
    </xf>
    <xf numFmtId="0" fontId="0" fillId="0" borderId="19" xfId="58" applyFont="1" applyFill="1" applyBorder="1" applyAlignment="1">
      <alignment horizontal="center" wrapText="1"/>
      <protection/>
    </xf>
    <xf numFmtId="0" fontId="38" fillId="0" borderId="13" xfId="54" applyFont="1" applyBorder="1" applyAlignment="1">
      <alignment vertical="center" wrapText="1"/>
      <protection/>
    </xf>
    <xf numFmtId="4" fontId="23" fillId="0" borderId="0" xfId="57" applyNumberFormat="1" applyFont="1" applyFill="1" applyAlignment="1">
      <alignment vertical="top" wrapText="1"/>
      <protection/>
    </xf>
    <xf numFmtId="49" fontId="24" fillId="0" borderId="0" xfId="57" applyNumberFormat="1" applyFont="1" applyFill="1" applyAlignment="1">
      <alignment horizontal="center" vertical="center" wrapText="1"/>
      <protection/>
    </xf>
    <xf numFmtId="49" fontId="23" fillId="0" borderId="0" xfId="57" applyNumberFormat="1" applyFont="1" applyFill="1" applyAlignment="1">
      <alignment horizontal="center" vertical="top" wrapText="1"/>
      <protection/>
    </xf>
    <xf numFmtId="49" fontId="23" fillId="0" borderId="0" xfId="57" applyNumberFormat="1" applyFont="1" applyFill="1" applyAlignment="1">
      <alignment horizontal="center" vertical="center" wrapText="1"/>
      <protection/>
    </xf>
    <xf numFmtId="4" fontId="23" fillId="0" borderId="0" xfId="57" applyNumberFormat="1" applyFont="1" applyFill="1" applyAlignment="1">
      <alignment horizontal="right" vertical="center"/>
      <protection/>
    </xf>
    <xf numFmtId="0" fontId="23" fillId="0" borderId="0" xfId="57" applyFont="1" applyFill="1" applyAlignment="1">
      <alignment vertical="top"/>
      <protection/>
    </xf>
    <xf numFmtId="0" fontId="23" fillId="0" borderId="0" xfId="57" applyFont="1" applyFill="1" applyAlignment="1">
      <alignment horizontal="right" vertical="top"/>
      <protection/>
    </xf>
    <xf numFmtId="0" fontId="23" fillId="0" borderId="0" xfId="57" applyFont="1" applyFill="1" applyAlignment="1">
      <alignment horizontal="right" vertical="center"/>
      <protection/>
    </xf>
    <xf numFmtId="0" fontId="0" fillId="0" borderId="16" xfId="0" applyFont="1" applyFill="1" applyBorder="1" applyAlignment="1">
      <alignment horizontal="left" wrapText="1"/>
    </xf>
    <xf numFmtId="0" fontId="23" fillId="0" borderId="14" xfId="56" applyFont="1" applyFill="1" applyBorder="1" applyAlignment="1">
      <alignment horizontal="center" wrapText="1"/>
      <protection/>
    </xf>
    <xf numFmtId="0" fontId="23" fillId="0" borderId="23" xfId="56" applyFont="1" applyFill="1" applyBorder="1" applyAlignment="1">
      <alignment horizontal="center" wrapText="1"/>
      <protection/>
    </xf>
    <xf numFmtId="4" fontId="0" fillId="0" borderId="14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4" fontId="20" fillId="0" borderId="18" xfId="0" applyNumberFormat="1" applyFont="1" applyFill="1" applyBorder="1" applyAlignment="1">
      <alignment horizontal="right" vertical="top"/>
    </xf>
    <xf numFmtId="4" fontId="21" fillId="0" borderId="18" xfId="0" applyNumberFormat="1" applyFont="1" applyFill="1" applyBorder="1" applyAlignment="1">
      <alignment horizontal="right" vertical="top"/>
    </xf>
    <xf numFmtId="4" fontId="33" fillId="0" borderId="18" xfId="0" applyNumberFormat="1" applyFont="1" applyFill="1" applyBorder="1" applyAlignment="1">
      <alignment horizontal="right" vertical="top"/>
    </xf>
    <xf numFmtId="4" fontId="33" fillId="0" borderId="27" xfId="0" applyNumberFormat="1" applyFont="1" applyFill="1" applyBorder="1" applyAlignment="1">
      <alignment horizontal="right" vertical="top"/>
    </xf>
    <xf numFmtId="49" fontId="19" fillId="0" borderId="28" xfId="0" applyNumberFormat="1" applyFont="1" applyFill="1" applyBorder="1" applyAlignment="1">
      <alignment horizontal="center" vertical="top" wrapText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23" fillId="0" borderId="0" xfId="56" applyFont="1" applyFill="1" applyAlignment="1">
      <alignment vertical="top" wrapText="1"/>
      <protection/>
    </xf>
    <xf numFmtId="4" fontId="23" fillId="0" borderId="0" xfId="56" applyNumberFormat="1" applyFont="1" applyFill="1" applyAlignment="1">
      <alignment vertical="top" wrapText="1"/>
      <protection/>
    </xf>
    <xf numFmtId="4" fontId="0" fillId="0" borderId="19" xfId="56" applyNumberFormat="1" applyFont="1" applyFill="1" applyBorder="1" applyAlignment="1">
      <alignment horizontal="right"/>
      <protection/>
    </xf>
    <xf numFmtId="0" fontId="0" fillId="0" borderId="19" xfId="56" applyFont="1" applyFill="1" applyBorder="1" applyAlignment="1">
      <alignment horizontal="center" wrapText="1"/>
      <protection/>
    </xf>
    <xf numFmtId="0" fontId="0" fillId="0" borderId="19" xfId="56" applyFont="1" applyFill="1" applyBorder="1" applyAlignment="1">
      <alignment horizontal="center"/>
      <protection/>
    </xf>
    <xf numFmtId="0" fontId="0" fillId="0" borderId="19" xfId="56" applyFont="1" applyFill="1" applyBorder="1" applyAlignment="1">
      <alignment horizontal="left" wrapText="1"/>
      <protection/>
    </xf>
    <xf numFmtId="4" fontId="21" fillId="0" borderId="10" xfId="56" applyNumberFormat="1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center" wrapText="1"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10" xfId="56" applyFont="1" applyFill="1" applyBorder="1" applyAlignment="1">
      <alignment wrapText="1"/>
      <protection/>
    </xf>
    <xf numFmtId="0" fontId="20" fillId="0" borderId="10" xfId="56" applyFont="1" applyFill="1" applyBorder="1" applyAlignment="1">
      <alignment horizontal="left" wrapText="1"/>
      <protection/>
    </xf>
    <xf numFmtId="0" fontId="21" fillId="0" borderId="10" xfId="56" applyFont="1" applyFill="1" applyBorder="1" applyAlignment="1">
      <alignment horizontal="center" wrapText="1"/>
      <protection/>
    </xf>
    <xf numFmtId="0" fontId="21" fillId="0" borderId="10" xfId="56" applyFont="1" applyFill="1" applyBorder="1" applyAlignment="1">
      <alignment wrapText="1"/>
      <protection/>
    </xf>
    <xf numFmtId="4" fontId="33" fillId="0" borderId="12" xfId="56" applyNumberFormat="1" applyFont="1" applyFill="1" applyBorder="1" applyAlignment="1">
      <alignment horizontal="right"/>
      <protection/>
    </xf>
    <xf numFmtId="0" fontId="20" fillId="0" borderId="12" xfId="56" applyFont="1" applyFill="1" applyBorder="1" applyAlignment="1">
      <alignment horizontal="center" wrapText="1"/>
      <protection/>
    </xf>
    <xf numFmtId="49" fontId="20" fillId="0" borderId="12" xfId="56" applyNumberFormat="1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wrapText="1"/>
      <protection/>
    </xf>
    <xf numFmtId="0" fontId="0" fillId="0" borderId="19" xfId="56" applyFont="1" applyFill="1" applyBorder="1" applyAlignment="1">
      <alignment wrapText="1"/>
      <protection/>
    </xf>
    <xf numFmtId="4" fontId="0" fillId="0" borderId="10" xfId="56" applyNumberFormat="1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left" wrapText="1"/>
      <protection/>
    </xf>
    <xf numFmtId="0" fontId="21" fillId="0" borderId="10" xfId="56" applyFont="1" applyFill="1" applyBorder="1" applyAlignment="1">
      <alignment horizontal="center"/>
      <protection/>
    </xf>
    <xf numFmtId="0" fontId="38" fillId="0" borderId="10" xfId="54" applyFont="1" applyBorder="1" applyAlignment="1">
      <alignment vertical="center" wrapText="1"/>
      <protection/>
    </xf>
    <xf numFmtId="4" fontId="20" fillId="0" borderId="12" xfId="56" applyNumberFormat="1" applyFont="1" applyFill="1" applyBorder="1" applyAlignment="1">
      <alignment horizontal="right"/>
      <protection/>
    </xf>
    <xf numFmtId="49" fontId="0" fillId="0" borderId="19" xfId="56" applyNumberFormat="1" applyFont="1" applyFill="1" applyBorder="1" applyAlignment="1">
      <alignment horizontal="center" wrapText="1"/>
      <protection/>
    </xf>
    <xf numFmtId="49" fontId="0" fillId="0" borderId="10" xfId="56" applyNumberFormat="1" applyFont="1" applyFill="1" applyBorder="1" applyAlignment="1">
      <alignment horizontal="center" wrapText="1"/>
      <protection/>
    </xf>
    <xf numFmtId="0" fontId="0" fillId="25" borderId="10" xfId="56" applyFont="1" applyFill="1" applyBorder="1" applyAlignment="1">
      <alignment horizontal="left" wrapText="1"/>
      <protection/>
    </xf>
    <xf numFmtId="0" fontId="20" fillId="25" borderId="12" xfId="56" applyFont="1" applyFill="1" applyBorder="1" applyAlignment="1">
      <alignment horizontal="left" wrapText="1"/>
      <protection/>
    </xf>
    <xf numFmtId="0" fontId="0" fillId="25" borderId="10" xfId="56" applyFont="1" applyFill="1" applyBorder="1" applyAlignment="1">
      <alignment horizontal="center" wrapText="1"/>
      <protection/>
    </xf>
    <xf numFmtId="0" fontId="0" fillId="24" borderId="10" xfId="63" applyNumberFormat="1" applyFont="1" applyFill="1" applyBorder="1" applyAlignment="1">
      <alignment vertical="top" wrapText="1"/>
      <protection/>
    </xf>
    <xf numFmtId="0" fontId="23" fillId="0" borderId="13" xfId="56" applyFont="1" applyFill="1" applyBorder="1" applyAlignment="1">
      <alignment horizontal="center" wrapText="1"/>
      <protection/>
    </xf>
    <xf numFmtId="0" fontId="23" fillId="0" borderId="13" xfId="56" applyFont="1" applyFill="1" applyBorder="1" applyAlignment="1">
      <alignment horizontal="center"/>
      <protection/>
    </xf>
    <xf numFmtId="0" fontId="23" fillId="25" borderId="13" xfId="56" applyFont="1" applyFill="1" applyBorder="1" applyAlignment="1">
      <alignment horizontal="left" wrapText="1"/>
      <protection/>
    </xf>
    <xf numFmtId="0" fontId="0" fillId="26" borderId="10" xfId="56" applyFont="1" applyFill="1" applyBorder="1" applyAlignment="1">
      <alignment horizontal="left" wrapText="1"/>
      <protection/>
    </xf>
    <xf numFmtId="0" fontId="20" fillId="0" borderId="10" xfId="56" applyFont="1" applyFill="1" applyBorder="1" applyAlignment="1">
      <alignment horizontal="center" wrapText="1"/>
      <protection/>
    </xf>
    <xf numFmtId="49" fontId="21" fillId="0" borderId="10" xfId="56" applyNumberFormat="1" applyFont="1" applyFill="1" applyBorder="1" applyAlignment="1">
      <alignment horizontal="center" wrapText="1"/>
      <protection/>
    </xf>
    <xf numFmtId="4" fontId="0" fillId="0" borderId="30" xfId="56" applyNumberFormat="1" applyFont="1" applyFill="1" applyBorder="1" applyAlignment="1">
      <alignment horizontal="right"/>
      <protection/>
    </xf>
    <xf numFmtId="0" fontId="0" fillId="0" borderId="30" xfId="56" applyFont="1" applyFill="1" applyBorder="1" applyAlignment="1">
      <alignment horizontal="center"/>
      <protection/>
    </xf>
    <xf numFmtId="0" fontId="0" fillId="0" borderId="30" xfId="56" applyFont="1" applyFill="1" applyBorder="1" applyAlignment="1">
      <alignment horizontal="left" wrapText="1"/>
      <protection/>
    </xf>
    <xf numFmtId="0" fontId="20" fillId="25" borderId="10" xfId="56" applyFont="1" applyFill="1" applyBorder="1" applyAlignment="1">
      <alignment horizontal="left" wrapText="1"/>
      <protection/>
    </xf>
    <xf numFmtId="4" fontId="24" fillId="0" borderId="12" xfId="56" applyNumberFormat="1" applyFont="1" applyFill="1" applyBorder="1" applyAlignment="1">
      <alignment horizontal="right"/>
      <protection/>
    </xf>
    <xf numFmtId="0" fontId="24" fillId="0" borderId="12" xfId="56" applyFont="1" applyFill="1" applyBorder="1" applyAlignment="1">
      <alignment horizontal="center" wrapText="1"/>
      <protection/>
    </xf>
    <xf numFmtId="49" fontId="23" fillId="0" borderId="12" xfId="56" applyNumberFormat="1" applyFont="1" applyFill="1" applyBorder="1" applyAlignment="1">
      <alignment horizontal="center" wrapText="1"/>
      <protection/>
    </xf>
    <xf numFmtId="0" fontId="24" fillId="0" borderId="12" xfId="56" applyFont="1" applyFill="1" applyBorder="1" applyAlignment="1">
      <alignment wrapText="1"/>
      <protection/>
    </xf>
    <xf numFmtId="4" fontId="24" fillId="0" borderId="31" xfId="56" applyNumberFormat="1" applyFont="1" applyFill="1" applyBorder="1" applyAlignment="1">
      <alignment horizontal="right"/>
      <protection/>
    </xf>
    <xf numFmtId="0" fontId="23" fillId="0" borderId="31" xfId="56" applyFont="1" applyFill="1" applyBorder="1" applyAlignment="1">
      <alignment horizontal="center" wrapText="1"/>
      <protection/>
    </xf>
    <xf numFmtId="0" fontId="24" fillId="0" borderId="31" xfId="56" applyFont="1" applyFill="1" applyBorder="1" applyAlignment="1">
      <alignment horizontal="left" wrapText="1"/>
      <protection/>
    </xf>
    <xf numFmtId="4" fontId="29" fillId="0" borderId="14" xfId="56" applyNumberFormat="1" applyFont="1" applyFill="1" applyBorder="1" applyAlignment="1">
      <alignment horizontal="center" vertical="center" wrapText="1"/>
      <protection/>
    </xf>
    <xf numFmtId="0" fontId="29" fillId="0" borderId="14" xfId="56" applyFont="1" applyFill="1" applyBorder="1" applyAlignment="1">
      <alignment horizontal="center" vertical="center" wrapText="1"/>
      <protection/>
    </xf>
    <xf numFmtId="4" fontId="29" fillId="0" borderId="32" xfId="56" applyNumberFormat="1" applyFont="1" applyFill="1" applyBorder="1" applyAlignment="1">
      <alignment horizontal="center" vertical="center" wrapText="1"/>
      <protection/>
    </xf>
    <xf numFmtId="0" fontId="29" fillId="0" borderId="32" xfId="56" applyFont="1" applyFill="1" applyBorder="1" applyAlignment="1">
      <alignment horizontal="center" vertical="center" wrapText="1"/>
      <protection/>
    </xf>
    <xf numFmtId="4" fontId="23" fillId="0" borderId="0" xfId="56" applyNumberFormat="1" applyFont="1" applyFill="1" applyAlignment="1">
      <alignment horizontal="right" vertical="center" wrapText="1"/>
      <protection/>
    </xf>
    <xf numFmtId="0" fontId="23" fillId="0" borderId="0" xfId="56" applyFont="1" applyFill="1" applyAlignment="1">
      <alignment horizontal="right" vertical="center" wrapText="1"/>
      <protection/>
    </xf>
    <xf numFmtId="4" fontId="24" fillId="0" borderId="0" xfId="56" applyNumberFormat="1" applyFont="1" applyFill="1" applyAlignment="1">
      <alignment horizontal="centerContinuous" vertical="center" wrapText="1"/>
      <protection/>
    </xf>
    <xf numFmtId="0" fontId="24" fillId="0" borderId="0" xfId="56" applyFont="1" applyFill="1" applyAlignment="1">
      <alignment horizontal="centerContinuous" vertic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4" fillId="0" borderId="0" xfId="56" applyFont="1" applyFill="1" applyAlignment="1">
      <alignment horizontal="center" vertical="center" wrapText="1"/>
      <protection/>
    </xf>
    <xf numFmtId="4" fontId="23" fillId="0" borderId="0" xfId="56" applyNumberFormat="1" applyFont="1" applyFill="1" applyAlignment="1">
      <alignment horizontal="right" vertical="top"/>
      <protection/>
    </xf>
    <xf numFmtId="0" fontId="23" fillId="0" borderId="0" xfId="56" applyFont="1" applyFill="1" applyAlignment="1">
      <alignment wrapText="1"/>
      <protection/>
    </xf>
    <xf numFmtId="4" fontId="23" fillId="0" borderId="19" xfId="56" applyNumberFormat="1" applyFont="1" applyFill="1" applyBorder="1" applyAlignment="1">
      <alignment horizontal="right"/>
      <protection/>
    </xf>
    <xf numFmtId="0" fontId="23" fillId="0" borderId="19" xfId="56" applyFont="1" applyFill="1" applyBorder="1" applyAlignment="1">
      <alignment horizontal="center" wrapText="1"/>
      <protection/>
    </xf>
    <xf numFmtId="0" fontId="23" fillId="0" borderId="19" xfId="56" applyFont="1" applyFill="1" applyBorder="1" applyAlignment="1">
      <alignment horizontal="center"/>
      <protection/>
    </xf>
    <xf numFmtId="0" fontId="23" fillId="0" borderId="19" xfId="56" applyFont="1" applyFill="1" applyBorder="1" applyAlignment="1">
      <alignment horizontal="left" wrapText="1"/>
      <protection/>
    </xf>
    <xf numFmtId="4" fontId="23" fillId="0" borderId="10" xfId="56" applyNumberFormat="1" applyFont="1" applyFill="1" applyBorder="1" applyAlignment="1">
      <alignment horizontal="right"/>
      <protection/>
    </xf>
    <xf numFmtId="0" fontId="23" fillId="0" borderId="10" xfId="56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/>
      <protection/>
    </xf>
    <xf numFmtId="4" fontId="25" fillId="0" borderId="10" xfId="56" applyNumberFormat="1" applyFont="1" applyFill="1" applyBorder="1" applyAlignment="1">
      <alignment horizontal="right"/>
      <protection/>
    </xf>
    <xf numFmtId="0" fontId="23" fillId="0" borderId="10" xfId="56" applyFont="1" applyFill="1" applyBorder="1" applyAlignment="1">
      <alignment wrapText="1"/>
      <protection/>
    </xf>
    <xf numFmtId="0" fontId="25" fillId="0" borderId="10" xfId="56" applyFont="1" applyFill="1" applyBorder="1" applyAlignment="1">
      <alignment horizontal="center"/>
      <protection/>
    </xf>
    <xf numFmtId="4" fontId="25" fillId="0" borderId="12" xfId="56" applyNumberFormat="1" applyFont="1" applyFill="1" applyBorder="1" applyAlignment="1">
      <alignment horizontal="right"/>
      <protection/>
    </xf>
    <xf numFmtId="0" fontId="23" fillId="0" borderId="12" xfId="56" applyFont="1" applyFill="1" applyBorder="1" applyAlignment="1">
      <alignment wrapText="1"/>
      <protection/>
    </xf>
    <xf numFmtId="0" fontId="23" fillId="0" borderId="12" xfId="56" applyFont="1" applyFill="1" applyBorder="1" applyAlignment="1">
      <alignment horizontal="center"/>
      <protection/>
    </xf>
    <xf numFmtId="0" fontId="23" fillId="0" borderId="12" xfId="56" applyFont="1" applyFill="1" applyBorder="1" applyAlignment="1">
      <alignment horizontal="center" wrapText="1"/>
      <protection/>
    </xf>
    <xf numFmtId="0" fontId="24" fillId="0" borderId="12" xfId="56" applyFont="1" applyFill="1" applyBorder="1" applyAlignment="1">
      <alignment horizontal="left" wrapText="1"/>
      <protection/>
    </xf>
    <xf numFmtId="4" fontId="24" fillId="0" borderId="32" xfId="56" applyNumberFormat="1" applyFont="1" applyFill="1" applyBorder="1" applyAlignment="1">
      <alignment horizontal="right"/>
      <protection/>
    </xf>
    <xf numFmtId="0" fontId="23" fillId="0" borderId="32" xfId="56" applyFont="1" applyFill="1" applyBorder="1" applyAlignment="1">
      <alignment wrapText="1"/>
      <protection/>
    </xf>
    <xf numFmtId="0" fontId="23" fillId="25" borderId="32" xfId="56" applyFont="1" applyFill="1" applyBorder="1" applyAlignment="1">
      <alignment horizontal="center"/>
      <protection/>
    </xf>
    <xf numFmtId="0" fontId="23" fillId="25" borderId="32" xfId="56" applyFont="1" applyFill="1" applyBorder="1" applyAlignment="1">
      <alignment horizontal="center" wrapText="1"/>
      <protection/>
    </xf>
    <xf numFmtId="49" fontId="24" fillId="0" borderId="32" xfId="56" applyNumberFormat="1" applyFont="1" applyFill="1" applyBorder="1" applyAlignment="1">
      <alignment horizontal="center" wrapText="1"/>
      <protection/>
    </xf>
    <xf numFmtId="0" fontId="24" fillId="0" borderId="32" xfId="56" applyFont="1" applyFill="1" applyBorder="1" applyAlignment="1">
      <alignment horizontal="left" wrapText="1"/>
      <protection/>
    </xf>
    <xf numFmtId="0" fontId="27" fillId="0" borderId="10" xfId="56" applyFont="1" applyFill="1" applyBorder="1" applyAlignment="1">
      <alignment horizontal="center" wrapText="1"/>
      <protection/>
    </xf>
    <xf numFmtId="0" fontId="27" fillId="0" borderId="10" xfId="56" applyFont="1" applyFill="1" applyBorder="1" applyAlignment="1">
      <alignment wrapText="1"/>
      <protection/>
    </xf>
    <xf numFmtId="0" fontId="24" fillId="0" borderId="10" xfId="56" applyFont="1" applyFill="1" applyBorder="1" applyAlignment="1">
      <alignment horizontal="left" wrapText="1"/>
      <protection/>
    </xf>
    <xf numFmtId="0" fontId="28" fillId="0" borderId="1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wrapText="1"/>
      <protection/>
    </xf>
    <xf numFmtId="4" fontId="26" fillId="0" borderId="12" xfId="56" applyNumberFormat="1" applyFont="1" applyFill="1" applyBorder="1" applyAlignment="1">
      <alignment horizontal="right"/>
      <protection/>
    </xf>
    <xf numFmtId="49" fontId="24" fillId="0" borderId="12" xfId="56" applyNumberFormat="1" applyFont="1" applyFill="1" applyBorder="1" applyAlignment="1">
      <alignment horizontal="center" wrapText="1"/>
      <protection/>
    </xf>
    <xf numFmtId="0" fontId="23" fillId="0" borderId="19" xfId="56" applyFont="1" applyFill="1" applyBorder="1" applyAlignment="1">
      <alignment wrapText="1"/>
      <protection/>
    </xf>
    <xf numFmtId="0" fontId="25" fillId="25" borderId="10" xfId="56" applyFont="1" applyFill="1" applyBorder="1" applyAlignment="1">
      <alignment horizontal="center"/>
      <protection/>
    </xf>
    <xf numFmtId="0" fontId="25" fillId="25" borderId="10" xfId="56" applyFont="1" applyFill="1" applyBorder="1" applyAlignment="1">
      <alignment horizontal="center" wrapText="1"/>
      <protection/>
    </xf>
    <xf numFmtId="0" fontId="25" fillId="25" borderId="10" xfId="56" applyFont="1" applyFill="1" applyBorder="1" applyAlignment="1">
      <alignment wrapText="1"/>
      <protection/>
    </xf>
    <xf numFmtId="4" fontId="24" fillId="0" borderId="11" xfId="56" applyNumberFormat="1" applyFont="1" applyFill="1" applyBorder="1" applyAlignment="1">
      <alignment horizontal="right"/>
      <protection/>
    </xf>
    <xf numFmtId="0" fontId="23" fillId="0" borderId="11" xfId="56" applyFont="1" applyFill="1" applyBorder="1" applyAlignment="1">
      <alignment wrapText="1"/>
      <protection/>
    </xf>
    <xf numFmtId="0" fontId="23" fillId="25" borderId="11" xfId="56" applyFont="1" applyFill="1" applyBorder="1" applyAlignment="1">
      <alignment horizontal="center"/>
      <protection/>
    </xf>
    <xf numFmtId="0" fontId="23" fillId="25" borderId="11" xfId="56" applyFont="1" applyFill="1" applyBorder="1" applyAlignment="1">
      <alignment horizontal="center" wrapText="1"/>
      <protection/>
    </xf>
    <xf numFmtId="49" fontId="24" fillId="0" borderId="11" xfId="56" applyNumberFormat="1" applyFont="1" applyFill="1" applyBorder="1" applyAlignment="1">
      <alignment horizontal="center" wrapText="1"/>
      <protection/>
    </xf>
    <xf numFmtId="0" fontId="24" fillId="0" borderId="11" xfId="56" applyFont="1" applyFill="1" applyBorder="1" applyAlignment="1">
      <alignment horizontal="left" wrapText="1"/>
      <protection/>
    </xf>
    <xf numFmtId="49" fontId="23" fillId="0" borderId="19" xfId="56" applyNumberFormat="1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0" fontId="23" fillId="25" borderId="10" xfId="56" applyFont="1" applyFill="1" applyBorder="1" applyAlignment="1">
      <alignment wrapText="1"/>
      <protection/>
    </xf>
    <xf numFmtId="0" fontId="23" fillId="25" borderId="10" xfId="56" applyFont="1" applyFill="1" applyBorder="1" applyAlignment="1">
      <alignment horizontal="center"/>
      <protection/>
    </xf>
    <xf numFmtId="49" fontId="23" fillId="25" borderId="10" xfId="56" applyNumberFormat="1" applyFont="1" applyFill="1" applyBorder="1" applyAlignment="1">
      <alignment horizontal="center" wrapText="1"/>
      <protection/>
    </xf>
    <xf numFmtId="0" fontId="23" fillId="25" borderId="10" xfId="56" applyFont="1" applyFill="1" applyBorder="1" applyAlignment="1">
      <alignment horizontal="left" wrapText="1"/>
      <protection/>
    </xf>
    <xf numFmtId="0" fontId="23" fillId="25" borderId="12" xfId="56" applyFont="1" applyFill="1" applyBorder="1" applyAlignment="1">
      <alignment wrapText="1"/>
      <protection/>
    </xf>
    <xf numFmtId="0" fontId="23" fillId="25" borderId="12" xfId="56" applyFont="1" applyFill="1" applyBorder="1" applyAlignment="1">
      <alignment horizontal="center"/>
      <protection/>
    </xf>
    <xf numFmtId="49" fontId="23" fillId="25" borderId="12" xfId="56" applyNumberFormat="1" applyFont="1" applyFill="1" applyBorder="1" applyAlignment="1">
      <alignment horizontal="center" wrapText="1"/>
      <protection/>
    </xf>
    <xf numFmtId="49" fontId="24" fillId="25" borderId="12" xfId="56" applyNumberFormat="1" applyFont="1" applyFill="1" applyBorder="1" applyAlignment="1">
      <alignment horizontal="center" wrapText="1"/>
      <protection/>
    </xf>
    <xf numFmtId="0" fontId="24" fillId="25" borderId="12" xfId="56" applyFont="1" applyFill="1" applyBorder="1" applyAlignment="1">
      <alignment horizontal="left" wrapText="1"/>
      <protection/>
    </xf>
    <xf numFmtId="0" fontId="30" fillId="0" borderId="30" xfId="0" applyFont="1" applyBorder="1" applyAlignment="1">
      <alignment wrapText="1"/>
    </xf>
    <xf numFmtId="4" fontId="25" fillId="0" borderId="30" xfId="56" applyNumberFormat="1" applyFont="1" applyFill="1" applyBorder="1" applyAlignment="1">
      <alignment horizontal="right"/>
      <protection/>
    </xf>
    <xf numFmtId="0" fontId="23" fillId="25" borderId="10" xfId="56" applyFont="1" applyFill="1" applyBorder="1" applyAlignment="1">
      <alignment horizontal="center" wrapText="1"/>
      <protection/>
    </xf>
    <xf numFmtId="0" fontId="23" fillId="24" borderId="10" xfId="63" applyNumberFormat="1" applyFont="1" applyFill="1" applyBorder="1" applyAlignment="1">
      <alignment vertical="top" wrapText="1"/>
      <protection/>
    </xf>
    <xf numFmtId="0" fontId="23" fillId="0" borderId="12" xfId="56" applyFont="1" applyFill="1" applyBorder="1" applyAlignment="1">
      <alignment horizontal="left" wrapText="1"/>
      <protection/>
    </xf>
    <xf numFmtId="4" fontId="23" fillId="0" borderId="10" xfId="56" applyNumberFormat="1" applyFont="1" applyFill="1" applyBorder="1" applyAlignment="1">
      <alignment vertical="top" wrapText="1"/>
      <protection/>
    </xf>
    <xf numFmtId="0" fontId="24" fillId="0" borderId="10" xfId="56" applyFont="1" applyFill="1" applyBorder="1" applyAlignment="1">
      <alignment horizontal="center" wrapText="1"/>
      <protection/>
    </xf>
    <xf numFmtId="49" fontId="25" fillId="0" borderId="10" xfId="56" applyNumberFormat="1" applyFont="1" applyFill="1" applyBorder="1" applyAlignment="1">
      <alignment horizontal="center" wrapText="1"/>
      <protection/>
    </xf>
    <xf numFmtId="4" fontId="24" fillId="0" borderId="33" xfId="56" applyNumberFormat="1" applyFont="1" applyFill="1" applyBorder="1" applyAlignment="1">
      <alignment horizontal="right"/>
      <protection/>
    </xf>
    <xf numFmtId="0" fontId="24" fillId="0" borderId="33" xfId="56" applyFont="1" applyFill="1" applyBorder="1" applyAlignment="1">
      <alignment horizontal="center" wrapText="1"/>
      <protection/>
    </xf>
    <xf numFmtId="49" fontId="24" fillId="0" borderId="33" xfId="56" applyNumberFormat="1" applyFont="1" applyFill="1" applyBorder="1" applyAlignment="1">
      <alignment horizontal="center" wrapText="1"/>
      <protection/>
    </xf>
    <xf numFmtId="0" fontId="24" fillId="0" borderId="33" xfId="56" applyFont="1" applyFill="1" applyBorder="1" applyAlignment="1">
      <alignment wrapText="1"/>
      <protection/>
    </xf>
    <xf numFmtId="0" fontId="23" fillId="0" borderId="30" xfId="56" applyFont="1" applyFill="1" applyBorder="1" applyAlignment="1">
      <alignment horizontal="left" wrapText="1"/>
      <protection/>
    </xf>
    <xf numFmtId="4" fontId="23" fillId="0" borderId="30" xfId="56" applyNumberFormat="1" applyFont="1" applyFill="1" applyBorder="1" applyAlignment="1">
      <alignment horizontal="right"/>
      <protection/>
    </xf>
    <xf numFmtId="4" fontId="23" fillId="0" borderId="34" xfId="56" applyNumberFormat="1" applyFont="1" applyFill="1" applyBorder="1" applyAlignment="1">
      <alignment horizontal="right"/>
      <protection/>
    </xf>
    <xf numFmtId="0" fontId="23" fillId="0" borderId="34" xfId="56" applyFont="1" applyFill="1" applyBorder="1" applyAlignment="1">
      <alignment horizontal="center"/>
      <protection/>
    </xf>
    <xf numFmtId="0" fontId="23" fillId="0" borderId="34" xfId="56" applyFont="1" applyFill="1" applyBorder="1" applyAlignment="1">
      <alignment horizontal="center" wrapText="1"/>
      <protection/>
    </xf>
    <xf numFmtId="0" fontId="23" fillId="0" borderId="34" xfId="56" applyFont="1" applyFill="1" applyBorder="1" applyAlignment="1">
      <alignment horizontal="left" wrapText="1"/>
      <protection/>
    </xf>
    <xf numFmtId="0" fontId="24" fillId="25" borderId="10" xfId="56" applyFont="1" applyFill="1" applyBorder="1" applyAlignment="1">
      <alignment horizontal="left" wrapText="1"/>
      <protection/>
    </xf>
    <xf numFmtId="0" fontId="23" fillId="0" borderId="35" xfId="56" applyFont="1" applyFill="1" applyBorder="1" applyAlignment="1">
      <alignment vertical="top" wrapText="1"/>
      <protection/>
    </xf>
    <xf numFmtId="4" fontId="24" fillId="0" borderId="23" xfId="56" applyNumberFormat="1" applyFont="1" applyFill="1" applyBorder="1" applyAlignment="1">
      <alignment horizontal="right"/>
      <protection/>
    </xf>
    <xf numFmtId="0" fontId="24" fillId="0" borderId="23" xfId="56" applyFont="1" applyFill="1" applyBorder="1" applyAlignment="1">
      <alignment horizontal="center" wrapText="1"/>
      <protection/>
    </xf>
    <xf numFmtId="4" fontId="23" fillId="0" borderId="35" xfId="56" applyNumberFormat="1" applyFont="1" applyFill="1" applyBorder="1" applyAlignment="1">
      <alignment vertical="top" wrapText="1"/>
      <protection/>
    </xf>
    <xf numFmtId="4" fontId="23" fillId="0" borderId="0" xfId="56" applyNumberFormat="1" applyFont="1" applyFill="1" applyAlignment="1">
      <alignment wrapText="1"/>
      <protection/>
    </xf>
    <xf numFmtId="4" fontId="29" fillId="0" borderId="11" xfId="56" applyNumberFormat="1" applyFont="1" applyFill="1" applyBorder="1" applyAlignment="1">
      <alignment horizontal="center" vertical="center"/>
      <protection/>
    </xf>
    <xf numFmtId="49" fontId="29" fillId="0" borderId="11" xfId="56" applyNumberFormat="1" applyFont="1" applyFill="1" applyBorder="1" applyAlignment="1">
      <alignment horizontal="center" vertical="center" wrapText="1"/>
      <protection/>
    </xf>
    <xf numFmtId="0" fontId="29" fillId="0" borderId="11" xfId="56" applyFont="1" applyFill="1" applyBorder="1" applyAlignment="1">
      <alignment horizontal="center" vertical="center" wrapText="1"/>
      <protection/>
    </xf>
    <xf numFmtId="49" fontId="23" fillId="0" borderId="0" xfId="56" applyNumberFormat="1" applyFont="1" applyFill="1" applyAlignment="1">
      <alignment horizontal="right" vertical="center" wrapText="1"/>
      <protection/>
    </xf>
    <xf numFmtId="49" fontId="24" fillId="0" borderId="0" xfId="56" applyNumberFormat="1" applyFont="1" applyFill="1" applyAlignment="1">
      <alignment horizontal="centerContinuous" vertical="center" wrapText="1"/>
      <protection/>
    </xf>
    <xf numFmtId="4" fontId="23" fillId="0" borderId="0" xfId="56" applyNumberFormat="1" applyFont="1" applyFill="1" applyAlignment="1">
      <alignment horizontal="right" vertical="center"/>
      <protection/>
    </xf>
    <xf numFmtId="49" fontId="23" fillId="0" borderId="0" xfId="56" applyNumberFormat="1" applyFont="1" applyFill="1" applyAlignment="1">
      <alignment horizontal="center" vertical="top" wrapText="1"/>
      <protection/>
    </xf>
    <xf numFmtId="49" fontId="23" fillId="0" borderId="0" xfId="56" applyNumberFormat="1" applyFont="1" applyFill="1" applyAlignment="1">
      <alignment horizontal="center" vertical="center" wrapText="1"/>
      <protection/>
    </xf>
    <xf numFmtId="49" fontId="24" fillId="0" borderId="0" xfId="56" applyNumberFormat="1" applyFont="1" applyFill="1" applyAlignment="1">
      <alignment horizontal="center" vertical="center" wrapText="1"/>
      <protection/>
    </xf>
    <xf numFmtId="49" fontId="18" fillId="0" borderId="0" xfId="0" applyNumberFormat="1" applyFont="1" applyBorder="1" applyAlignment="1">
      <alignment/>
    </xf>
    <xf numFmtId="0" fontId="23" fillId="0" borderId="0" xfId="56" applyFont="1" applyFill="1" applyBorder="1" applyAlignment="1">
      <alignment vertical="top"/>
      <protection/>
    </xf>
    <xf numFmtId="0" fontId="23" fillId="0" borderId="0" xfId="56" applyFont="1" applyFill="1" applyBorder="1" applyAlignment="1">
      <alignment/>
      <protection/>
    </xf>
    <xf numFmtId="4" fontId="23" fillId="0" borderId="0" xfId="56" applyNumberFormat="1" applyFont="1" applyFill="1" applyBorder="1" applyAlignment="1">
      <alignment horizontal="right"/>
      <protection/>
    </xf>
    <xf numFmtId="0" fontId="23" fillId="0" borderId="0" xfId="56" applyFont="1" applyFill="1" applyBorder="1" applyAlignment="1">
      <alignment horizontal="center"/>
      <protection/>
    </xf>
    <xf numFmtId="4" fontId="25" fillId="0" borderId="0" xfId="56" applyNumberFormat="1" applyFont="1" applyFill="1" applyBorder="1" applyAlignment="1">
      <alignment horizontal="right"/>
      <protection/>
    </xf>
    <xf numFmtId="4" fontId="25" fillId="25" borderId="0" xfId="56" applyNumberFormat="1" applyFont="1" applyFill="1" applyBorder="1" applyAlignment="1">
      <alignment horizontal="right"/>
      <protection/>
    </xf>
    <xf numFmtId="0" fontId="25" fillId="0" borderId="0" xfId="56" applyFont="1" applyFill="1" applyBorder="1" applyAlignment="1">
      <alignment horizontal="center"/>
      <protection/>
    </xf>
    <xf numFmtId="49" fontId="23" fillId="0" borderId="0" xfId="56" applyNumberFormat="1" applyFont="1" applyFill="1" applyBorder="1" applyAlignment="1">
      <alignment horizontal="center"/>
      <protection/>
    </xf>
    <xf numFmtId="0" fontId="24" fillId="0" borderId="12" xfId="56" applyFont="1" applyFill="1" applyBorder="1" applyAlignment="1">
      <alignment horizontal="center"/>
      <protection/>
    </xf>
    <xf numFmtId="0" fontId="31" fillId="0" borderId="12" xfId="56" applyFont="1" applyFill="1" applyBorder="1" applyAlignment="1">
      <alignment horizontal="center" wrapText="1"/>
      <protection/>
    </xf>
    <xf numFmtId="0" fontId="25" fillId="0" borderId="0" xfId="56" applyFont="1" applyFill="1" applyBorder="1" applyAlignment="1">
      <alignment horizontal="center" wrapText="1"/>
      <protection/>
    </xf>
    <xf numFmtId="4" fontId="23" fillId="0" borderId="11" xfId="56" applyNumberFormat="1" applyFont="1" applyFill="1" applyBorder="1" applyAlignment="1">
      <alignment horizontal="right"/>
      <protection/>
    </xf>
    <xf numFmtId="0" fontId="23" fillId="0" borderId="11" xfId="56" applyFont="1" applyFill="1" applyBorder="1" applyAlignment="1">
      <alignment horizontal="center" wrapText="1"/>
      <protection/>
    </xf>
    <xf numFmtId="0" fontId="23" fillId="0" borderId="11" xfId="56" applyFont="1" applyFill="1" applyBorder="1" applyAlignment="1">
      <alignment horizontal="left" wrapText="1"/>
      <protection/>
    </xf>
    <xf numFmtId="4" fontId="25" fillId="0" borderId="11" xfId="56" applyNumberFormat="1" applyFont="1" applyFill="1" applyBorder="1" applyAlignment="1">
      <alignment horizontal="right"/>
      <protection/>
    </xf>
    <xf numFmtId="0" fontId="21" fillId="0" borderId="11" xfId="56" applyFont="1" applyFill="1" applyBorder="1" applyAlignment="1">
      <alignment horizontal="left" wrapText="1"/>
      <protection/>
    </xf>
    <xf numFmtId="4" fontId="26" fillId="0" borderId="11" xfId="56" applyNumberFormat="1" applyFont="1" applyFill="1" applyBorder="1" applyAlignment="1">
      <alignment horizontal="right"/>
      <protection/>
    </xf>
    <xf numFmtId="0" fontId="24" fillId="0" borderId="11" xfId="56" applyFont="1" applyFill="1" applyBorder="1" applyAlignment="1">
      <alignment horizontal="center" wrapText="1"/>
      <protection/>
    </xf>
    <xf numFmtId="0" fontId="20" fillId="0" borderId="11" xfId="56" applyFont="1" applyFill="1" applyBorder="1" applyAlignment="1">
      <alignment horizontal="left" wrapText="1"/>
      <protection/>
    </xf>
    <xf numFmtId="0" fontId="23" fillId="25" borderId="19" xfId="56" applyFont="1" applyFill="1" applyBorder="1" applyAlignment="1">
      <alignment horizontal="center" wrapText="1"/>
      <protection/>
    </xf>
    <xf numFmtId="0" fontId="23" fillId="25" borderId="19" xfId="56" applyFont="1" applyFill="1" applyBorder="1" applyAlignment="1">
      <alignment horizontal="left" wrapText="1"/>
      <protection/>
    </xf>
    <xf numFmtId="0" fontId="23" fillId="25" borderId="12" xfId="56" applyFont="1" applyFill="1" applyBorder="1" applyAlignment="1">
      <alignment horizontal="center" wrapText="1"/>
      <protection/>
    </xf>
    <xf numFmtId="4" fontId="23" fillId="25" borderId="0" xfId="56" applyNumberFormat="1" applyFont="1" applyFill="1" applyBorder="1" applyAlignment="1">
      <alignment horizontal="right"/>
      <protection/>
    </xf>
    <xf numFmtId="0" fontId="25" fillId="25" borderId="0" xfId="56" applyFont="1" applyFill="1" applyBorder="1" applyAlignment="1">
      <alignment horizontal="center"/>
      <protection/>
    </xf>
    <xf numFmtId="0" fontId="23" fillId="25" borderId="0" xfId="56" applyFont="1" applyFill="1" applyBorder="1" applyAlignment="1">
      <alignment horizontal="center"/>
      <protection/>
    </xf>
    <xf numFmtId="0" fontId="26" fillId="0" borderId="12" xfId="56" applyFont="1" applyFill="1" applyBorder="1" applyAlignment="1">
      <alignment horizontal="center" wrapText="1"/>
      <protection/>
    </xf>
    <xf numFmtId="0" fontId="26" fillId="0" borderId="12" xfId="56" applyFont="1" applyFill="1" applyBorder="1" applyAlignment="1">
      <alignment horizontal="center"/>
      <protection/>
    </xf>
    <xf numFmtId="0" fontId="26" fillId="0" borderId="12" xfId="56" applyFont="1" applyFill="1" applyBorder="1" applyAlignment="1">
      <alignment horizontal="left" wrapText="1"/>
      <protection/>
    </xf>
    <xf numFmtId="4" fontId="23" fillId="0" borderId="0" xfId="56" applyNumberFormat="1" applyFont="1" applyFill="1" applyBorder="1" applyAlignment="1">
      <alignment vertical="top"/>
      <protection/>
    </xf>
    <xf numFmtId="0" fontId="29" fillId="0" borderId="36" xfId="56" applyFont="1" applyFill="1" applyBorder="1" applyAlignment="1">
      <alignment horizontal="center" vertical="center" wrapText="1"/>
      <protection/>
    </xf>
    <xf numFmtId="0" fontId="23" fillId="0" borderId="0" xfId="56" applyFont="1" applyFill="1" applyAlignment="1">
      <alignment horizontal="right" vertical="center"/>
      <protection/>
    </xf>
    <xf numFmtId="0" fontId="23" fillId="0" borderId="0" xfId="56" applyFont="1" applyFill="1" applyAlignment="1">
      <alignment horizontal="right" vertical="top"/>
      <protection/>
    </xf>
    <xf numFmtId="0" fontId="0" fillId="0" borderId="18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49" fontId="19" fillId="0" borderId="37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49" fontId="19" fillId="0" borderId="40" xfId="0" applyNumberFormat="1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vertical="top" wrapText="1"/>
    </xf>
    <xf numFmtId="49" fontId="20" fillId="0" borderId="27" xfId="0" applyNumberFormat="1" applyFont="1" applyFill="1" applyBorder="1" applyAlignment="1">
      <alignment vertical="top" wrapText="1"/>
    </xf>
    <xf numFmtId="0" fontId="20" fillId="0" borderId="27" xfId="0" applyFont="1" applyFill="1" applyBorder="1" applyAlignment="1">
      <alignment vertical="top" wrapText="1"/>
    </xf>
    <xf numFmtId="49" fontId="20" fillId="0" borderId="18" xfId="0" applyNumberFormat="1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top" wrapText="1"/>
    </xf>
    <xf numFmtId="49" fontId="0" fillId="0" borderId="18" xfId="0" applyNumberFormat="1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9" fontId="20" fillId="0" borderId="17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20" fillId="0" borderId="14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0" fillId="0" borderId="15" xfId="0" applyNumberFormat="1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39" fillId="0" borderId="14" xfId="0" applyFont="1" applyFill="1" applyBorder="1" applyAlignment="1">
      <alignment/>
    </xf>
    <xf numFmtId="0" fontId="23" fillId="0" borderId="14" xfId="56" applyFont="1" applyFill="1" applyBorder="1" applyAlignment="1">
      <alignment wrapText="1"/>
      <protection/>
    </xf>
    <xf numFmtId="0" fontId="23" fillId="0" borderId="13" xfId="56" applyFont="1" applyFill="1" applyBorder="1" applyAlignment="1">
      <alignment horizontal="left" wrapText="1"/>
      <protection/>
    </xf>
    <xf numFmtId="0" fontId="24" fillId="0" borderId="13" xfId="56" applyFont="1" applyFill="1" applyBorder="1" applyAlignment="1">
      <alignment horizontal="left" wrapText="1"/>
      <protection/>
    </xf>
    <xf numFmtId="0" fontId="25" fillId="0" borderId="13" xfId="56" applyFont="1" applyFill="1" applyBorder="1" applyAlignment="1">
      <alignment horizontal="left" wrapText="1"/>
      <protection/>
    </xf>
    <xf numFmtId="0" fontId="0" fillId="0" borderId="10" xfId="56" applyFont="1" applyFill="1" applyBorder="1" applyAlignment="1">
      <alignment vertical="top" wrapText="1"/>
      <protection/>
    </xf>
    <xf numFmtId="0" fontId="21" fillId="0" borderId="10" xfId="56" applyFont="1" applyFill="1" applyBorder="1" applyAlignment="1">
      <alignment horizontal="left" vertical="top" wrapText="1"/>
      <protection/>
    </xf>
    <xf numFmtId="4" fontId="29" fillId="0" borderId="11" xfId="56" applyNumberFormat="1" applyFont="1" applyFill="1" applyBorder="1" applyAlignment="1">
      <alignment horizontal="center" vertical="center" wrapText="1"/>
      <protection/>
    </xf>
    <xf numFmtId="3" fontId="29" fillId="0" borderId="14" xfId="56" applyNumberFormat="1" applyFont="1" applyFill="1" applyBorder="1" applyAlignment="1">
      <alignment horizontal="center" vertical="center" wrapText="1"/>
      <protection/>
    </xf>
    <xf numFmtId="0" fontId="23" fillId="0" borderId="10" xfId="63" applyNumberFormat="1" applyFont="1" applyFill="1" applyBorder="1" applyAlignment="1">
      <alignment vertical="top" wrapText="1"/>
      <protection/>
    </xf>
    <xf numFmtId="0" fontId="34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vertical="top" wrapText="1"/>
    </xf>
    <xf numFmtId="0" fontId="38" fillId="0" borderId="10" xfId="54" applyFont="1" applyFill="1" applyBorder="1" applyAlignment="1">
      <alignment vertical="center" wrapText="1"/>
      <protection/>
    </xf>
    <xf numFmtId="0" fontId="23" fillId="0" borderId="30" xfId="56" applyFont="1" applyFill="1" applyBorder="1" applyAlignment="1">
      <alignment horizontal="center" wrapText="1"/>
      <protection/>
    </xf>
    <xf numFmtId="0" fontId="23" fillId="0" borderId="30" xfId="56" applyFont="1" applyFill="1" applyBorder="1" applyAlignment="1">
      <alignment horizontal="center"/>
      <protection/>
    </xf>
    <xf numFmtId="0" fontId="24" fillId="0" borderId="14" xfId="56" applyFont="1" applyFill="1" applyBorder="1" applyAlignment="1">
      <alignment horizontal="left" wrapText="1"/>
      <protection/>
    </xf>
    <xf numFmtId="0" fontId="24" fillId="0" borderId="14" xfId="56" applyFont="1" applyFill="1" applyBorder="1" applyAlignment="1">
      <alignment horizontal="center" wrapText="1"/>
      <protection/>
    </xf>
    <xf numFmtId="0" fontId="24" fillId="0" borderId="14" xfId="56" applyFont="1" applyFill="1" applyBorder="1" applyAlignment="1">
      <alignment horizontal="center"/>
      <protection/>
    </xf>
    <xf numFmtId="0" fontId="31" fillId="0" borderId="14" xfId="56" applyFont="1" applyFill="1" applyBorder="1" applyAlignment="1">
      <alignment horizontal="center" wrapText="1"/>
      <protection/>
    </xf>
    <xf numFmtId="4" fontId="26" fillId="0" borderId="14" xfId="56" applyNumberFormat="1" applyFont="1" applyFill="1" applyBorder="1" applyAlignment="1">
      <alignment horizontal="right"/>
      <protection/>
    </xf>
    <xf numFmtId="0" fontId="23" fillId="0" borderId="32" xfId="56" applyFont="1" applyFill="1" applyBorder="1" applyAlignment="1">
      <alignment horizontal="center" wrapText="1"/>
      <protection/>
    </xf>
    <xf numFmtId="0" fontId="23" fillId="0" borderId="32" xfId="56" applyFont="1" applyFill="1" applyBorder="1" applyAlignment="1">
      <alignment horizontal="center"/>
      <protection/>
    </xf>
    <xf numFmtId="0" fontId="24" fillId="0" borderId="41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center"/>
      <protection/>
    </xf>
    <xf numFmtId="4" fontId="26" fillId="0" borderId="41" xfId="56" applyNumberFormat="1" applyFont="1" applyFill="1" applyBorder="1" applyAlignment="1">
      <alignment horizontal="right"/>
      <protection/>
    </xf>
    <xf numFmtId="0" fontId="23" fillId="25" borderId="30" xfId="58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horizontal="left" wrapText="1"/>
      <protection/>
    </xf>
    <xf numFmtId="0" fontId="23" fillId="0" borderId="14" xfId="56" applyFont="1" applyFill="1" applyBorder="1" applyAlignment="1">
      <alignment vertical="top" wrapText="1"/>
      <protection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47" fillId="0" borderId="0" xfId="0" applyFont="1" applyFill="1" applyAlignment="1">
      <alignment wrapText="1"/>
    </xf>
    <xf numFmtId="0" fontId="0" fillId="0" borderId="26" xfId="0" applyNumberFormat="1" applyFont="1" applyFill="1" applyBorder="1" applyAlignment="1">
      <alignment vertical="top" wrapText="1"/>
    </xf>
    <xf numFmtId="49" fontId="20" fillId="0" borderId="25" xfId="0" applyNumberFormat="1" applyFont="1" applyFill="1" applyBorder="1" applyAlignment="1">
      <alignment vertical="top" wrapText="1"/>
    </xf>
    <xf numFmtId="0" fontId="20" fillId="0" borderId="25" xfId="0" applyFont="1" applyFill="1" applyBorder="1" applyAlignment="1">
      <alignment vertical="top" wrapText="1"/>
    </xf>
    <xf numFmtId="0" fontId="0" fillId="0" borderId="14" xfId="42" applyFont="1" applyFill="1" applyBorder="1" applyAlignment="1" applyProtection="1">
      <alignment wrapText="1"/>
      <protection/>
    </xf>
    <xf numFmtId="0" fontId="0" fillId="0" borderId="0" xfId="42" applyFont="1" applyFill="1" applyAlignment="1" applyProtection="1">
      <alignment wrapText="1"/>
      <protection/>
    </xf>
    <xf numFmtId="0" fontId="0" fillId="0" borderId="0" xfId="0" applyFill="1" applyAlignment="1">
      <alignment wrapText="1"/>
    </xf>
    <xf numFmtId="0" fontId="47" fillId="0" borderId="14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wrapText="1"/>
    </xf>
    <xf numFmtId="0" fontId="0" fillId="0" borderId="10" xfId="63" applyNumberFormat="1" applyFont="1" applyFill="1" applyBorder="1" applyAlignment="1">
      <alignment vertical="top" wrapText="1"/>
      <protection/>
    </xf>
    <xf numFmtId="0" fontId="0" fillId="0" borderId="10" xfId="0" applyNumberFormat="1" applyFont="1" applyFill="1" applyBorder="1" applyAlignment="1">
      <alignment vertical="top" wrapText="1"/>
    </xf>
    <xf numFmtId="0" fontId="38" fillId="0" borderId="13" xfId="54" applyFont="1" applyFill="1" applyBorder="1" applyAlignment="1">
      <alignment vertical="center" wrapText="1"/>
      <protection/>
    </xf>
    <xf numFmtId="49" fontId="0" fillId="0" borderId="12" xfId="56" applyNumberFormat="1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wrapText="1"/>
      <protection/>
    </xf>
    <xf numFmtId="0" fontId="48" fillId="0" borderId="0" xfId="56" applyFont="1" applyFill="1" applyAlignment="1">
      <alignment vertical="top" wrapText="1"/>
      <protection/>
    </xf>
    <xf numFmtId="49" fontId="18" fillId="0" borderId="0" xfId="0" applyNumberFormat="1" applyFont="1" applyFill="1" applyBorder="1" applyAlignment="1">
      <alignment/>
    </xf>
    <xf numFmtId="0" fontId="48" fillId="0" borderId="0" xfId="57" applyFont="1" applyFill="1" applyAlignment="1">
      <alignment vertical="top" wrapText="1"/>
      <protection/>
    </xf>
    <xf numFmtId="49" fontId="0" fillId="0" borderId="0" xfId="0" applyNumberFormat="1" applyFont="1" applyFill="1" applyAlignment="1">
      <alignment/>
    </xf>
    <xf numFmtId="49" fontId="0" fillId="0" borderId="16" xfId="0" applyNumberFormat="1" applyFont="1" applyFill="1" applyBorder="1" applyAlignment="1">
      <alignment horizontal="center" vertical="top" wrapText="1"/>
    </xf>
    <xf numFmtId="180" fontId="0" fillId="0" borderId="0" xfId="0" applyNumberFormat="1" applyFont="1" applyFill="1" applyAlignment="1">
      <alignment/>
    </xf>
    <xf numFmtId="0" fontId="47" fillId="0" borderId="0" xfId="0" applyFont="1" applyFill="1" applyAlignment="1">
      <alignment vertical="top" wrapText="1"/>
    </xf>
    <xf numFmtId="0" fontId="49" fillId="0" borderId="0" xfId="0" applyFont="1" applyFill="1" applyAlignment="1">
      <alignment wrapText="1"/>
    </xf>
    <xf numFmtId="0" fontId="0" fillId="0" borderId="25" xfId="0" applyNumberFormat="1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0" fontId="36" fillId="0" borderId="42" xfId="0" applyFont="1" applyFill="1" applyBorder="1" applyAlignment="1">
      <alignment wrapText="1"/>
    </xf>
    <xf numFmtId="49" fontId="0" fillId="0" borderId="25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wrapText="1"/>
    </xf>
    <xf numFmtId="0" fontId="34" fillId="0" borderId="0" xfId="0" applyFont="1" applyFill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49" fontId="0" fillId="0" borderId="15" xfId="0" applyNumberFormat="1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/>
    </xf>
    <xf numFmtId="49" fontId="0" fillId="0" borderId="16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/>
    </xf>
    <xf numFmtId="0" fontId="20" fillId="0" borderId="43" xfId="0" applyFont="1" applyFill="1" applyBorder="1" applyAlignment="1">
      <alignment wrapText="1"/>
    </xf>
    <xf numFmtId="0" fontId="23" fillId="0" borderId="23" xfId="56" applyFont="1" applyFill="1" applyBorder="1" applyAlignment="1">
      <alignment horizontal="center"/>
      <protection/>
    </xf>
    <xf numFmtId="4" fontId="23" fillId="0" borderId="23" xfId="56" applyNumberFormat="1" applyFont="1" applyFill="1" applyBorder="1" applyAlignment="1">
      <alignment horizontal="right"/>
      <protection/>
    </xf>
    <xf numFmtId="0" fontId="25" fillId="0" borderId="10" xfId="56" applyFont="1" applyFill="1" applyBorder="1" applyAlignment="1">
      <alignment horizontal="left" vertical="top" wrapText="1"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0" xfId="62" applyFont="1" applyFill="1" applyAlignment="1">
      <alignment horizontal="right"/>
      <protection/>
    </xf>
    <xf numFmtId="49" fontId="0" fillId="0" borderId="0" xfId="62" applyNumberFormat="1" applyFont="1" applyFill="1" applyAlignment="1">
      <alignment horizontal="right"/>
      <protection/>
    </xf>
    <xf numFmtId="0" fontId="19" fillId="0" borderId="11" xfId="62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top" wrapText="1"/>
      <protection/>
    </xf>
    <xf numFmtId="0" fontId="20" fillId="0" borderId="12" xfId="62" applyFont="1" applyFill="1" applyBorder="1" applyAlignment="1">
      <alignment vertical="center" wrapText="1"/>
      <protection/>
    </xf>
    <xf numFmtId="2" fontId="21" fillId="0" borderId="12" xfId="62" applyNumberFormat="1" applyFont="1" applyFill="1" applyBorder="1" applyAlignment="1">
      <alignment horizontal="center" vertical="center" wrapText="1"/>
      <protection/>
    </xf>
    <xf numFmtId="205" fontId="0" fillId="0" borderId="0" xfId="62" applyNumberFormat="1" applyFont="1" applyFill="1">
      <alignment/>
      <protection/>
    </xf>
    <xf numFmtId="0" fontId="0" fillId="0" borderId="10" xfId="62" applyFont="1" applyFill="1" applyBorder="1" applyAlignment="1">
      <alignment horizontal="center" vertical="top" wrapText="1"/>
      <protection/>
    </xf>
    <xf numFmtId="0" fontId="0" fillId="0" borderId="10" xfId="62" applyFont="1" applyFill="1" applyBorder="1" applyAlignment="1">
      <alignment vertical="center" wrapText="1"/>
      <protection/>
    </xf>
    <xf numFmtId="2" fontId="21" fillId="0" borderId="10" xfId="62" applyNumberFormat="1" applyFont="1" applyFill="1" applyBorder="1" applyAlignment="1">
      <alignment horizontal="center" vertical="center" wrapText="1"/>
      <protection/>
    </xf>
    <xf numFmtId="49" fontId="0" fillId="0" borderId="10" xfId="61" applyNumberFormat="1" applyFont="1" applyFill="1" applyBorder="1" applyAlignment="1">
      <alignment horizontal="center" vertical="top" wrapText="1"/>
      <protection/>
    </xf>
    <xf numFmtId="49" fontId="0" fillId="0" borderId="10" xfId="61" applyNumberFormat="1" applyFont="1" applyFill="1" applyBorder="1" applyAlignment="1">
      <alignment vertical="top" wrapText="1"/>
      <protection/>
    </xf>
    <xf numFmtId="2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top" wrapText="1"/>
      <protection/>
    </xf>
    <xf numFmtId="2" fontId="21" fillId="0" borderId="10" xfId="62" applyNumberFormat="1" applyFont="1" applyFill="1" applyBorder="1" applyAlignment="1">
      <alignment horizontal="center" vertical="top" wrapText="1"/>
      <protection/>
    </xf>
    <xf numFmtId="0" fontId="0" fillId="0" borderId="19" xfId="62" applyFont="1" applyFill="1" applyBorder="1" applyAlignment="1">
      <alignment horizontal="center" vertical="top" wrapText="1"/>
      <protection/>
    </xf>
    <xf numFmtId="0" fontId="0" fillId="0" borderId="19" xfId="62" applyFont="1" applyFill="1" applyBorder="1" applyAlignment="1">
      <alignment vertical="top" wrapText="1"/>
      <protection/>
    </xf>
    <xf numFmtId="2" fontId="0" fillId="0" borderId="19" xfId="62" applyNumberFormat="1" applyFont="1" applyFill="1" applyBorder="1" applyAlignment="1">
      <alignment horizontal="center" vertical="top" wrapText="1"/>
      <protection/>
    </xf>
    <xf numFmtId="1" fontId="0" fillId="0" borderId="0" xfId="62" applyNumberFormat="1" applyFont="1" applyFill="1">
      <alignment/>
      <protection/>
    </xf>
    <xf numFmtId="0" fontId="23" fillId="0" borderId="13" xfId="63" applyNumberFormat="1" applyFont="1" applyFill="1" applyBorder="1" applyAlignment="1">
      <alignment vertical="top" wrapText="1"/>
      <protection/>
    </xf>
    <xf numFmtId="0" fontId="0" fillId="0" borderId="10" xfId="56" applyFont="1" applyFill="1" applyBorder="1" applyAlignment="1">
      <alignment horizontal="left" vertical="top" wrapText="1"/>
      <protection/>
    </xf>
    <xf numFmtId="4" fontId="23" fillId="0" borderId="31" xfId="56" applyNumberFormat="1" applyFont="1" applyFill="1" applyBorder="1" applyAlignment="1">
      <alignment horizontal="right"/>
      <protection/>
    </xf>
    <xf numFmtId="0" fontId="23" fillId="0" borderId="33" xfId="56" applyFont="1" applyFill="1" applyBorder="1" applyAlignment="1">
      <alignment horizontal="center" wrapText="1"/>
      <protection/>
    </xf>
    <xf numFmtId="4" fontId="23" fillId="0" borderId="33" xfId="56" applyNumberFormat="1" applyFont="1" applyFill="1" applyBorder="1" applyAlignment="1">
      <alignment horizontal="right"/>
      <protection/>
    </xf>
    <xf numFmtId="0" fontId="21" fillId="0" borderId="10" xfId="0" applyFont="1" applyFill="1" applyBorder="1" applyAlignment="1">
      <alignment vertical="top" wrapText="1"/>
    </xf>
    <xf numFmtId="4" fontId="23" fillId="0" borderId="14" xfId="56" applyNumberFormat="1" applyFont="1" applyFill="1" applyBorder="1" applyAlignment="1">
      <alignment vertical="top" wrapText="1"/>
      <protection/>
    </xf>
    <xf numFmtId="0" fontId="20" fillId="0" borderId="14" xfId="0" applyFont="1" applyFill="1" applyBorder="1" applyAlignment="1">
      <alignment wrapText="1"/>
    </xf>
    <xf numFmtId="0" fontId="0" fillId="0" borderId="30" xfId="56" applyFont="1" applyFill="1" applyBorder="1" applyAlignment="1">
      <alignment horizontal="center" wrapText="1"/>
      <protection/>
    </xf>
    <xf numFmtId="0" fontId="50" fillId="0" borderId="10" xfId="56" applyFont="1" applyFill="1" applyBorder="1" applyAlignment="1">
      <alignment horizontal="center" wrapText="1"/>
      <protection/>
    </xf>
    <xf numFmtId="0" fontId="0" fillId="0" borderId="23" xfId="56" applyFont="1" applyFill="1" applyBorder="1" applyAlignment="1">
      <alignment horizontal="left" wrapText="1"/>
      <protection/>
    </xf>
    <xf numFmtId="0" fontId="0" fillId="0" borderId="0" xfId="62" applyFont="1" applyFill="1" applyBorder="1" applyAlignment="1">
      <alignment horizontal="center" wrapText="1"/>
      <protection/>
    </xf>
    <xf numFmtId="49" fontId="18" fillId="0" borderId="0" xfId="0" applyNumberFormat="1" applyFont="1" applyFill="1" applyBorder="1" applyAlignment="1">
      <alignment horizontal="right"/>
    </xf>
    <xf numFmtId="0" fontId="0" fillId="0" borderId="0" xfId="62" applyFont="1" applyBorder="1" applyAlignment="1">
      <alignment horizontal="center" wrapText="1"/>
      <protection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8" fillId="0" borderId="35" xfId="56" applyFont="1" applyFill="1" applyBorder="1" applyAlignment="1">
      <alignment horizontal="center" vertical="top" wrapText="1"/>
      <protection/>
    </xf>
    <xf numFmtId="0" fontId="24" fillId="0" borderId="0" xfId="56" applyFont="1" applyFill="1" applyAlignment="1">
      <alignment horizontal="center" vertical="center" wrapText="1"/>
      <protection/>
    </xf>
    <xf numFmtId="49" fontId="1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20" fillId="0" borderId="16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3" fontId="20" fillId="0" borderId="44" xfId="0" applyNumberFormat="1" applyFont="1" applyBorder="1" applyAlignment="1">
      <alignment horizontal="center" vertical="top" wrapText="1"/>
    </xf>
    <xf numFmtId="3" fontId="20" fillId="0" borderId="45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3" fontId="0" fillId="0" borderId="48" xfId="0" applyNumberFormat="1" applyFont="1" applyBorder="1" applyAlignment="1">
      <alignment horizontal="center" vertical="top" wrapText="1"/>
    </xf>
    <xf numFmtId="3" fontId="0" fillId="0" borderId="49" xfId="0" applyNumberFormat="1" applyFont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49" fontId="0" fillId="0" borderId="16" xfId="60" applyNumberFormat="1" applyFont="1" applyBorder="1" applyAlignment="1">
      <alignment vertical="top" wrapText="1"/>
      <protection/>
    </xf>
    <xf numFmtId="49" fontId="0" fillId="0" borderId="16" xfId="60" applyNumberFormat="1" applyFont="1" applyBorder="1" applyAlignment="1">
      <alignment horizontal="center"/>
      <protection/>
    </xf>
    <xf numFmtId="49" fontId="19" fillId="0" borderId="14" xfId="60" applyNumberFormat="1" applyFont="1" applyBorder="1" applyAlignment="1">
      <alignment horizontal="center" vertical="center" wrapText="1"/>
      <protection/>
    </xf>
    <xf numFmtId="49" fontId="0" fillId="0" borderId="17" xfId="60" applyNumberFormat="1" applyFont="1" applyBorder="1" applyAlignment="1">
      <alignment horizontal="center" vertical="top" wrapText="1"/>
      <protection/>
    </xf>
    <xf numFmtId="49" fontId="0" fillId="0" borderId="17" xfId="60" applyNumberFormat="1" applyFont="1" applyBorder="1" applyAlignment="1">
      <alignment vertical="top" wrapText="1"/>
      <protection/>
    </xf>
    <xf numFmtId="49" fontId="0" fillId="0" borderId="44" xfId="60" applyNumberFormat="1" applyFont="1" applyBorder="1" applyAlignment="1">
      <alignment horizontal="left" vertical="top" wrapText="1"/>
      <protection/>
    </xf>
    <xf numFmtId="49" fontId="0" fillId="0" borderId="50" xfId="60" applyNumberFormat="1" applyFont="1" applyBorder="1" applyAlignment="1">
      <alignment horizontal="left" vertical="top" wrapText="1"/>
      <protection/>
    </xf>
    <xf numFmtId="49" fontId="0" fillId="0" borderId="45" xfId="60" applyNumberFormat="1" applyFont="1" applyBorder="1" applyAlignment="1">
      <alignment horizontal="left" vertical="top" wrapText="1"/>
      <protection/>
    </xf>
    <xf numFmtId="49" fontId="0" fillId="0" borderId="44" xfId="60" applyNumberFormat="1" applyFont="1" applyBorder="1" applyAlignment="1">
      <alignment horizontal="center"/>
      <protection/>
    </xf>
    <xf numFmtId="49" fontId="0" fillId="0" borderId="50" xfId="60" applyNumberFormat="1" applyFont="1" applyBorder="1" applyAlignment="1">
      <alignment horizontal="center"/>
      <protection/>
    </xf>
    <xf numFmtId="49" fontId="0" fillId="0" borderId="45" xfId="60" applyNumberFormat="1" applyFont="1" applyBorder="1" applyAlignment="1">
      <alignment horizontal="center"/>
      <protection/>
    </xf>
    <xf numFmtId="49" fontId="0" fillId="0" borderId="46" xfId="60" applyNumberFormat="1" applyFont="1" applyBorder="1" applyAlignment="1">
      <alignment horizontal="left" vertical="top" wrapText="1"/>
      <protection/>
    </xf>
    <xf numFmtId="49" fontId="0" fillId="0" borderId="51" xfId="60" applyNumberFormat="1" applyFont="1" applyBorder="1" applyAlignment="1">
      <alignment horizontal="left" vertical="top" wrapText="1"/>
      <protection/>
    </xf>
    <xf numFmtId="49" fontId="0" fillId="0" borderId="47" xfId="60" applyNumberFormat="1" applyFont="1" applyBorder="1" applyAlignment="1">
      <alignment horizontal="left" vertical="top" wrapText="1"/>
      <protection/>
    </xf>
    <xf numFmtId="49" fontId="0" fillId="0" borderId="46" xfId="60" applyNumberFormat="1" applyFont="1" applyBorder="1" applyAlignment="1">
      <alignment horizontal="center" vertical="top" wrapText="1"/>
      <protection/>
    </xf>
    <xf numFmtId="49" fontId="0" fillId="0" borderId="51" xfId="60" applyNumberFormat="1" applyFont="1" applyBorder="1" applyAlignment="1">
      <alignment horizontal="center" vertical="top" wrapText="1"/>
      <protection/>
    </xf>
    <xf numFmtId="49" fontId="0" fillId="0" borderId="47" xfId="60" applyNumberFormat="1" applyFont="1" applyBorder="1" applyAlignment="1">
      <alignment horizontal="center" vertical="top" wrapText="1"/>
      <protection/>
    </xf>
    <xf numFmtId="1" fontId="0" fillId="0" borderId="10" xfId="62" applyNumberFormat="1" applyFont="1" applyFill="1" applyBorder="1" applyAlignment="1">
      <alignment horizontal="center" vertical="center" wrapText="1"/>
      <protection/>
    </xf>
    <xf numFmtId="1" fontId="21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1" fontId="21" fillId="0" borderId="10" xfId="62" applyNumberFormat="1" applyFont="1" applyFill="1" applyBorder="1" applyAlignment="1">
      <alignment horizontal="center" vertical="top" wrapText="1"/>
      <protection/>
    </xf>
    <xf numFmtId="1" fontId="0" fillId="0" borderId="10" xfId="62" applyNumberFormat="1" applyFont="1" applyFill="1" applyBorder="1" applyAlignment="1">
      <alignment horizontal="center" vertical="top" wrapText="1"/>
      <protection/>
    </xf>
    <xf numFmtId="1" fontId="0" fillId="0" borderId="19" xfId="62" applyNumberFormat="1" applyFont="1" applyFill="1" applyBorder="1" applyAlignment="1">
      <alignment horizontal="center" vertical="top" wrapText="1"/>
      <protection/>
    </xf>
    <xf numFmtId="4" fontId="20" fillId="0" borderId="52" xfId="0" applyNumberFormat="1" applyFont="1" applyFill="1" applyBorder="1" applyAlignment="1">
      <alignment horizontal="right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0191213 154-6-РД бюджет на 2020 год (приложения)" xfId="55"/>
    <cellStyle name="Обычный 3" xfId="56"/>
    <cellStyle name="Обычный 3_20210219 230-6-РД об уточнении бюджете на 2021 год (приложения)" xfId="57"/>
    <cellStyle name="Обычный 3_уточнение март2019 (приложения)" xfId="58"/>
    <cellStyle name="Обычный 4" xfId="59"/>
    <cellStyle name="Обычный_198-4-РД от15122010 о бюджете 2011 прил (опубл в РайВестн №101 от17122010)_273-4-РД от16112011 о бюджете на 2012г прил (опубл №103 от23122011)" xfId="60"/>
    <cellStyle name="Обычный_198-4-РД от15122010 о бюджете 2011 прил (опубл в РайВестн №101 от17122010)_273-4-РД от16112011 о бюджете на 2012г прил (опубл №103 от23122011) 2" xfId="61"/>
    <cellStyle name="Обычный_273-4-РД от16112011 о бюджете на 2012г прил (опубл №103 от23122011)" xfId="62"/>
    <cellStyle name="Обычный_прил5 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50" TargetMode="External" /><Relationship Id="rId2" Type="http://schemas.openxmlformats.org/officeDocument/2006/relationships/hyperlink" Target="https://internet.garant.ru/#/document/12125267/entry/60" TargetMode="External" /><Relationship Id="rId3" Type="http://schemas.openxmlformats.org/officeDocument/2006/relationships/hyperlink" Target="https://internet.garant.ru/#/document/12125267/entry/140" TargetMode="External" /><Relationship Id="rId4" Type="http://schemas.openxmlformats.org/officeDocument/2006/relationships/hyperlink" Target="https://internet.garant.ru/#/document/12125267/entry/150" TargetMode="External" /><Relationship Id="rId5" Type="http://schemas.openxmlformats.org/officeDocument/2006/relationships/hyperlink" Target="https://internet.garant.ru/#/document/12125267/entry/190" TargetMode="External" /><Relationship Id="rId6" Type="http://schemas.openxmlformats.org/officeDocument/2006/relationships/hyperlink" Target="https://internet.garant.ru/#/document/12125267/entry/200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50" TargetMode="External" /><Relationship Id="rId2" Type="http://schemas.openxmlformats.org/officeDocument/2006/relationships/hyperlink" Target="https://internet.garant.ru/#/document/12125267/entry/60" TargetMode="External" /><Relationship Id="rId3" Type="http://schemas.openxmlformats.org/officeDocument/2006/relationships/hyperlink" Target="https://internet.garant.ru/#/document/12125267/entry/140" TargetMode="External" /><Relationship Id="rId4" Type="http://schemas.openxmlformats.org/officeDocument/2006/relationships/hyperlink" Target="https://internet.garant.ru/#/document/12125267/entry/150" TargetMode="External" /><Relationship Id="rId5" Type="http://schemas.openxmlformats.org/officeDocument/2006/relationships/hyperlink" Target="https://internet.garant.ru/#/document/12125267/entry/190" TargetMode="External" /><Relationship Id="rId6" Type="http://schemas.openxmlformats.org/officeDocument/2006/relationships/hyperlink" Target="https://internet.garant.ru/#/document/12125267/entry/200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D23"/>
  <sheetViews>
    <sheetView showGridLines="0" zoomScaleSheetLayoutView="100" workbookViewId="0" topLeftCell="A7">
      <selection activeCell="G14" sqref="G14"/>
    </sheetView>
  </sheetViews>
  <sheetFormatPr defaultColWidth="9.140625" defaultRowHeight="12.75"/>
  <cols>
    <col min="1" max="1" width="22.140625" style="81" customWidth="1"/>
    <col min="2" max="2" width="50.140625" style="81" customWidth="1"/>
    <col min="3" max="3" width="14.57421875" style="81" customWidth="1"/>
    <col min="4" max="16384" width="9.140625" style="81" customWidth="1"/>
  </cols>
  <sheetData>
    <row r="1" spans="2:3" ht="12.75">
      <c r="B1" s="462"/>
      <c r="C1" s="462" t="s">
        <v>161</v>
      </c>
    </row>
    <row r="2" spans="2:3" ht="12.75">
      <c r="B2" s="462"/>
      <c r="C2" s="59" t="s">
        <v>267</v>
      </c>
    </row>
    <row r="3" spans="2:4" ht="12.75">
      <c r="B3" s="494" t="s">
        <v>908</v>
      </c>
      <c r="C3" s="494"/>
      <c r="D3" s="435"/>
    </row>
    <row r="4" spans="1:3" ht="12.75" customHeight="1">
      <c r="A4" s="493" t="s">
        <v>907</v>
      </c>
      <c r="B4" s="493"/>
      <c r="C4" s="493"/>
    </row>
    <row r="5" spans="1:3" ht="12.75">
      <c r="A5" s="463"/>
      <c r="C5" s="464" t="s">
        <v>587</v>
      </c>
    </row>
    <row r="6" spans="1:3" ht="33.75">
      <c r="A6" s="465" t="s">
        <v>363</v>
      </c>
      <c r="B6" s="465" t="s">
        <v>293</v>
      </c>
      <c r="C6" s="465" t="s">
        <v>37</v>
      </c>
    </row>
    <row r="7" spans="1:3" ht="12.75">
      <c r="A7" s="465">
        <v>1</v>
      </c>
      <c r="B7" s="465">
        <v>2</v>
      </c>
      <c r="C7" s="465">
        <v>3</v>
      </c>
    </row>
    <row r="8" spans="1:4" ht="25.5">
      <c r="A8" s="466" t="s">
        <v>557</v>
      </c>
      <c r="B8" s="467" t="s">
        <v>105</v>
      </c>
      <c r="C8" s="468">
        <f>C9+C14</f>
        <v>12912167.26</v>
      </c>
      <c r="D8" s="469"/>
    </row>
    <row r="9" spans="1:4" ht="25.5">
      <c r="A9" s="470" t="s">
        <v>107</v>
      </c>
      <c r="B9" s="471" t="s">
        <v>199</v>
      </c>
      <c r="C9" s="472">
        <f>C10+C12</f>
        <v>11140000</v>
      </c>
      <c r="D9" s="469"/>
    </row>
    <row r="10" spans="1:4" ht="38.25">
      <c r="A10" s="473" t="s">
        <v>168</v>
      </c>
      <c r="B10" s="474" t="s">
        <v>347</v>
      </c>
      <c r="C10" s="472">
        <f>C11</f>
        <v>30493000</v>
      </c>
      <c r="D10" s="469"/>
    </row>
    <row r="11" spans="1:4" ht="38.25">
      <c r="A11" s="473" t="s">
        <v>169</v>
      </c>
      <c r="B11" s="474" t="s">
        <v>348</v>
      </c>
      <c r="C11" s="475">
        <f>19353000+11140000</f>
        <v>30493000</v>
      </c>
      <c r="D11" s="469"/>
    </row>
    <row r="12" spans="1:4" ht="38.25">
      <c r="A12" s="470" t="s">
        <v>170</v>
      </c>
      <c r="B12" s="471" t="s">
        <v>197</v>
      </c>
      <c r="C12" s="472">
        <f>C13</f>
        <v>-19353000</v>
      </c>
      <c r="D12" s="469"/>
    </row>
    <row r="13" spans="1:4" ht="38.25">
      <c r="A13" s="470" t="s">
        <v>171</v>
      </c>
      <c r="B13" s="471" t="s">
        <v>198</v>
      </c>
      <c r="C13" s="475">
        <v>-19353000</v>
      </c>
      <c r="D13" s="469"/>
    </row>
    <row r="14" spans="1:4" ht="25.5">
      <c r="A14" s="470" t="s">
        <v>255</v>
      </c>
      <c r="B14" s="476" t="s">
        <v>584</v>
      </c>
      <c r="C14" s="477">
        <v>1772167.26</v>
      </c>
      <c r="D14" s="469"/>
    </row>
    <row r="15" spans="1:4" ht="12.75">
      <c r="A15" s="470" t="s">
        <v>256</v>
      </c>
      <c r="B15" s="476" t="s">
        <v>257</v>
      </c>
      <c r="C15" s="477">
        <f>C16</f>
        <v>-558048001.8</v>
      </c>
      <c r="D15" s="469"/>
    </row>
    <row r="16" spans="1:4" ht="12.75">
      <c r="A16" s="470" t="s">
        <v>258</v>
      </c>
      <c r="B16" s="476" t="s">
        <v>259</v>
      </c>
      <c r="C16" s="477">
        <f>C17</f>
        <v>-558048001.8</v>
      </c>
      <c r="D16" s="469"/>
    </row>
    <row r="17" spans="1:4" ht="25.5">
      <c r="A17" s="470" t="s">
        <v>585</v>
      </c>
      <c r="B17" s="476" t="s">
        <v>260</v>
      </c>
      <c r="C17" s="477">
        <f>C18</f>
        <v>-558048001.8</v>
      </c>
      <c r="D17" s="469"/>
    </row>
    <row r="18" spans="1:4" ht="25.5">
      <c r="A18" s="470" t="s">
        <v>261</v>
      </c>
      <c r="B18" s="476" t="s">
        <v>262</v>
      </c>
      <c r="C18" s="475">
        <f>-527555001.8-30493000</f>
        <v>-558048001.8</v>
      </c>
      <c r="D18" s="469"/>
    </row>
    <row r="19" spans="1:4" ht="12.75">
      <c r="A19" s="470" t="s">
        <v>651</v>
      </c>
      <c r="B19" s="476" t="s">
        <v>586</v>
      </c>
      <c r="C19" s="477">
        <f>C20</f>
        <v>559820169.06</v>
      </c>
      <c r="D19" s="469"/>
    </row>
    <row r="20" spans="1:4" ht="12.75">
      <c r="A20" s="470" t="s">
        <v>652</v>
      </c>
      <c r="B20" s="476" t="s">
        <v>653</v>
      </c>
      <c r="C20" s="477">
        <f>C21</f>
        <v>559820169.06</v>
      </c>
      <c r="D20" s="469"/>
    </row>
    <row r="21" spans="1:4" ht="25.5">
      <c r="A21" s="470" t="s">
        <v>654</v>
      </c>
      <c r="B21" s="476" t="s">
        <v>655</v>
      </c>
      <c r="C21" s="477">
        <f>C22</f>
        <v>559820169.06</v>
      </c>
      <c r="D21" s="469"/>
    </row>
    <row r="22" spans="1:4" ht="25.5">
      <c r="A22" s="478" t="s">
        <v>656</v>
      </c>
      <c r="B22" s="479" t="s">
        <v>657</v>
      </c>
      <c r="C22" s="480">
        <f>540467169.06+19353000</f>
        <v>559820169.06</v>
      </c>
      <c r="D22" s="469"/>
    </row>
    <row r="23" ht="12.75">
      <c r="C23" s="481"/>
    </row>
  </sheetData>
  <sheetProtection/>
  <mergeCells count="2">
    <mergeCell ref="A4:C4"/>
    <mergeCell ref="B3:C3"/>
  </mergeCells>
  <printOptions/>
  <pageMargins left="0.984251968503937" right="0.3937007874015748" top="0.5905511811023623" bottom="0.3937007874015748" header="0.5118110236220472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9900"/>
  </sheetPr>
  <dimension ref="A1:G285"/>
  <sheetViews>
    <sheetView showGridLines="0" zoomScaleSheetLayoutView="100" zoomScalePageLayoutView="0" workbookViewId="0" topLeftCell="A272">
      <selection activeCell="A176" sqref="A176:IV178"/>
    </sheetView>
  </sheetViews>
  <sheetFormatPr defaultColWidth="9.140625" defaultRowHeight="12.75"/>
  <cols>
    <col min="1" max="1" width="46.00390625" style="142" customWidth="1"/>
    <col min="2" max="2" width="13.421875" style="142" bestFit="1" customWidth="1"/>
    <col min="3" max="3" width="4.57421875" style="142" customWidth="1"/>
    <col min="4" max="5" width="14.00390625" style="142" customWidth="1"/>
    <col min="6" max="7" width="10.00390625" style="142" bestFit="1" customWidth="1"/>
    <col min="8" max="16384" width="9.140625" style="142" customWidth="1"/>
  </cols>
  <sheetData>
    <row r="1" spans="1:5" ht="12.75">
      <c r="A1" s="139"/>
      <c r="B1" s="140"/>
      <c r="C1" s="140"/>
      <c r="D1" s="168"/>
      <c r="E1" s="168" t="s">
        <v>447</v>
      </c>
    </row>
    <row r="2" spans="1:5" ht="12.75">
      <c r="A2" s="139"/>
      <c r="B2" s="140"/>
      <c r="C2" s="140"/>
      <c r="D2" s="59"/>
      <c r="E2" s="59" t="s">
        <v>267</v>
      </c>
    </row>
    <row r="3" spans="1:5" ht="12.75">
      <c r="A3" s="501" t="s">
        <v>944</v>
      </c>
      <c r="B3" s="501"/>
      <c r="C3" s="501"/>
      <c r="D3" s="501"/>
      <c r="E3" s="501"/>
    </row>
    <row r="4" spans="1:5" ht="12.75">
      <c r="A4" s="143"/>
      <c r="B4" s="140"/>
      <c r="C4" s="140"/>
      <c r="D4" s="169"/>
      <c r="E4" s="169"/>
    </row>
    <row r="5" spans="1:5" ht="38.25">
      <c r="A5" s="237" t="s">
        <v>941</v>
      </c>
      <c r="B5" s="237"/>
      <c r="C5" s="237"/>
      <c r="D5" s="237"/>
      <c r="E5" s="237"/>
    </row>
    <row r="6" spans="1:5" ht="12.75">
      <c r="A6" s="235"/>
      <c r="B6" s="235"/>
      <c r="C6" s="235"/>
      <c r="D6" s="235" t="s">
        <v>90</v>
      </c>
      <c r="E6" s="235" t="s">
        <v>90</v>
      </c>
    </row>
    <row r="7" spans="1:5" ht="22.5">
      <c r="A7" s="233" t="s">
        <v>86</v>
      </c>
      <c r="B7" s="233" t="s">
        <v>530</v>
      </c>
      <c r="C7" s="233" t="s">
        <v>531</v>
      </c>
      <c r="D7" s="233" t="s">
        <v>602</v>
      </c>
      <c r="E7" s="233" t="s">
        <v>940</v>
      </c>
    </row>
    <row r="8" spans="1:7" ht="12.75">
      <c r="A8" s="356" t="s">
        <v>74</v>
      </c>
      <c r="B8" s="356">
        <v>2</v>
      </c>
      <c r="C8" s="356">
        <v>3</v>
      </c>
      <c r="D8" s="356">
        <v>4</v>
      </c>
      <c r="E8" s="356">
        <v>4</v>
      </c>
      <c r="F8" s="162"/>
      <c r="G8" s="162"/>
    </row>
    <row r="9" spans="1:5" ht="12.75">
      <c r="A9" s="229" t="s">
        <v>91</v>
      </c>
      <c r="B9" s="228" t="s">
        <v>89</v>
      </c>
      <c r="C9" s="228" t="s">
        <v>89</v>
      </c>
      <c r="D9" s="227">
        <f>D10+D23+D71+D129+D135+D152+D168+D183+D192+D199+D210+D214+D224+D228+D233+D237+D246+D254+D260+D281+D285</f>
        <v>413793852</v>
      </c>
      <c r="E9" s="227">
        <f>E10+E23+E71+E129+E135+E152+E168+E183+E192+E199+E210+E214+E224+E228+E233+E237+E246+E254+E260+E281+E285</f>
        <v>431506020</v>
      </c>
    </row>
    <row r="10" spans="1:5" ht="25.5">
      <c r="A10" s="354" t="s">
        <v>15</v>
      </c>
      <c r="B10" s="353" t="s">
        <v>319</v>
      </c>
      <c r="C10" s="352" t="s">
        <v>89</v>
      </c>
      <c r="D10" s="270">
        <f>D11+D17</f>
        <v>28550829</v>
      </c>
      <c r="E10" s="270">
        <f>E11+E17</f>
        <v>26809744</v>
      </c>
    </row>
    <row r="11" spans="1:5" ht="27" customHeight="1">
      <c r="A11" s="12" t="s">
        <v>591</v>
      </c>
      <c r="B11" s="249" t="s">
        <v>320</v>
      </c>
      <c r="C11" s="248" t="s">
        <v>89</v>
      </c>
      <c r="D11" s="250">
        <f>D12</f>
        <v>5429723</v>
      </c>
      <c r="E11" s="250">
        <f>E12</f>
        <v>5096823</v>
      </c>
    </row>
    <row r="12" spans="1:5" ht="25.5">
      <c r="A12" s="29" t="s">
        <v>487</v>
      </c>
      <c r="B12" s="249" t="s">
        <v>321</v>
      </c>
      <c r="C12" s="248"/>
      <c r="D12" s="250">
        <f>D13</f>
        <v>5429723</v>
      </c>
      <c r="E12" s="250">
        <f>E13</f>
        <v>5096823</v>
      </c>
    </row>
    <row r="13" spans="1:5" ht="25.5">
      <c r="A13" s="251" t="s">
        <v>738</v>
      </c>
      <c r="B13" s="249" t="s">
        <v>322</v>
      </c>
      <c r="C13" s="248" t="s">
        <v>89</v>
      </c>
      <c r="D13" s="250">
        <f>SUM(D14:D16)</f>
        <v>5429723</v>
      </c>
      <c r="E13" s="250">
        <f>SUM(E14:E16)</f>
        <v>5096823</v>
      </c>
    </row>
    <row r="14" spans="1:5" ht="63.75">
      <c r="A14" s="13" t="s">
        <v>740</v>
      </c>
      <c r="B14" s="249" t="s">
        <v>322</v>
      </c>
      <c r="C14" s="248">
        <v>100</v>
      </c>
      <c r="D14" s="247">
        <v>5205523</v>
      </c>
      <c r="E14" s="247">
        <v>4886368</v>
      </c>
    </row>
    <row r="15" spans="1:5" ht="25.5">
      <c r="A15" s="13" t="s">
        <v>232</v>
      </c>
      <c r="B15" s="249" t="s">
        <v>322</v>
      </c>
      <c r="C15" s="248">
        <v>200</v>
      </c>
      <c r="D15" s="247">
        <v>191304</v>
      </c>
      <c r="E15" s="247">
        <v>179576</v>
      </c>
    </row>
    <row r="16" spans="1:5" ht="12.75">
      <c r="A16" s="13" t="s">
        <v>79</v>
      </c>
      <c r="B16" s="249" t="s">
        <v>322</v>
      </c>
      <c r="C16" s="248">
        <v>800</v>
      </c>
      <c r="D16" s="247">
        <v>32896</v>
      </c>
      <c r="E16" s="247">
        <v>30879</v>
      </c>
    </row>
    <row r="17" spans="1:5" ht="27.75" customHeight="1">
      <c r="A17" s="12" t="s">
        <v>592</v>
      </c>
      <c r="B17" s="249" t="s">
        <v>323</v>
      </c>
      <c r="C17" s="248"/>
      <c r="D17" s="250">
        <f>D18</f>
        <v>23121106</v>
      </c>
      <c r="E17" s="250">
        <f>E18</f>
        <v>21712921</v>
      </c>
    </row>
    <row r="18" spans="1:5" ht="51">
      <c r="A18" s="29" t="s">
        <v>646</v>
      </c>
      <c r="B18" s="249" t="s">
        <v>324</v>
      </c>
      <c r="C18" s="248"/>
      <c r="D18" s="250">
        <f>D19+D21</f>
        <v>23121106</v>
      </c>
      <c r="E18" s="250">
        <f>E19+E21</f>
        <v>21712921</v>
      </c>
    </row>
    <row r="19" spans="1:5" ht="25.5">
      <c r="A19" s="251" t="s">
        <v>738</v>
      </c>
      <c r="B19" s="249" t="s">
        <v>325</v>
      </c>
      <c r="C19" s="248"/>
      <c r="D19" s="250">
        <f>D20</f>
        <v>23031106</v>
      </c>
      <c r="E19" s="250">
        <f>E20</f>
        <v>21619052</v>
      </c>
    </row>
    <row r="20" spans="1:5" ht="38.25">
      <c r="A20" s="13" t="s">
        <v>92</v>
      </c>
      <c r="B20" s="249" t="s">
        <v>325</v>
      </c>
      <c r="C20" s="248">
        <v>600</v>
      </c>
      <c r="D20" s="247">
        <v>23031106</v>
      </c>
      <c r="E20" s="247">
        <v>21619052</v>
      </c>
    </row>
    <row r="21" spans="1:5" ht="36">
      <c r="A21" s="30" t="s">
        <v>295</v>
      </c>
      <c r="B21" s="249" t="s">
        <v>274</v>
      </c>
      <c r="C21" s="248"/>
      <c r="D21" s="250">
        <f>D22</f>
        <v>90000</v>
      </c>
      <c r="E21" s="250">
        <f>E22</f>
        <v>93869</v>
      </c>
    </row>
    <row r="22" spans="1:5" ht="25.5">
      <c r="A22" s="246" t="s">
        <v>93</v>
      </c>
      <c r="B22" s="245" t="s">
        <v>274</v>
      </c>
      <c r="C22" s="244">
        <v>200</v>
      </c>
      <c r="D22" s="243">
        <v>90000</v>
      </c>
      <c r="E22" s="243">
        <v>93869</v>
      </c>
    </row>
    <row r="23" spans="1:5" ht="25.5">
      <c r="A23" s="257" t="s">
        <v>166</v>
      </c>
      <c r="B23" s="335" t="s">
        <v>227</v>
      </c>
      <c r="C23" s="224" t="s">
        <v>89</v>
      </c>
      <c r="D23" s="223">
        <f>D24+D37+D53</f>
        <v>69446554</v>
      </c>
      <c r="E23" s="223">
        <f>E24+E37+E53</f>
        <v>70386982</v>
      </c>
    </row>
    <row r="24" spans="1:5" ht="51">
      <c r="A24" s="12" t="s">
        <v>384</v>
      </c>
      <c r="B24" s="252" t="s">
        <v>6</v>
      </c>
      <c r="C24" s="248" t="s">
        <v>89</v>
      </c>
      <c r="D24" s="250">
        <f>D25+D28</f>
        <v>3437700</v>
      </c>
      <c r="E24" s="250">
        <f>E25+E28</f>
        <v>3437700</v>
      </c>
    </row>
    <row r="25" spans="1:5" ht="51" hidden="1">
      <c r="A25" s="31" t="s">
        <v>454</v>
      </c>
      <c r="B25" s="252" t="s">
        <v>134</v>
      </c>
      <c r="C25" s="248"/>
      <c r="D25" s="250">
        <f>D26</f>
        <v>0</v>
      </c>
      <c r="E25" s="250">
        <f>E26</f>
        <v>0</v>
      </c>
    </row>
    <row r="26" spans="1:5" ht="38.25" hidden="1">
      <c r="A26" s="251" t="s">
        <v>630</v>
      </c>
      <c r="B26" s="249" t="s">
        <v>455</v>
      </c>
      <c r="C26" s="248" t="s">
        <v>89</v>
      </c>
      <c r="D26" s="250">
        <f>D27</f>
        <v>0</v>
      </c>
      <c r="E26" s="250">
        <f>E27</f>
        <v>0</v>
      </c>
    </row>
    <row r="27" spans="1:5" ht="38.25" hidden="1">
      <c r="A27" s="13" t="s">
        <v>92</v>
      </c>
      <c r="B27" s="249" t="s">
        <v>455</v>
      </c>
      <c r="C27" s="248" t="s">
        <v>81</v>
      </c>
      <c r="D27" s="247"/>
      <c r="E27" s="247"/>
    </row>
    <row r="28" spans="1:5" ht="51">
      <c r="A28" s="32" t="s">
        <v>766</v>
      </c>
      <c r="B28" s="252" t="s">
        <v>767</v>
      </c>
      <c r="C28" s="248"/>
      <c r="D28" s="250">
        <f>D29+D33</f>
        <v>3437700</v>
      </c>
      <c r="E28" s="250">
        <f>E29+E33</f>
        <v>3437700</v>
      </c>
    </row>
    <row r="29" spans="1:5" ht="38.25">
      <c r="A29" s="251" t="s">
        <v>394</v>
      </c>
      <c r="B29" s="252" t="s">
        <v>768</v>
      </c>
      <c r="C29" s="248" t="s">
        <v>89</v>
      </c>
      <c r="D29" s="250">
        <f>SUM(D30:D32)</f>
        <v>2342900</v>
      </c>
      <c r="E29" s="250">
        <f>SUM(E30:E32)</f>
        <v>2342900</v>
      </c>
    </row>
    <row r="30" spans="1:5" ht="63.75">
      <c r="A30" s="13" t="s">
        <v>740</v>
      </c>
      <c r="B30" s="252" t="s">
        <v>768</v>
      </c>
      <c r="C30" s="248">
        <v>100</v>
      </c>
      <c r="D30" s="247">
        <v>2232400</v>
      </c>
      <c r="E30" s="247">
        <v>2232400</v>
      </c>
    </row>
    <row r="31" spans="1:5" ht="25.5">
      <c r="A31" s="13" t="s">
        <v>232</v>
      </c>
      <c r="B31" s="252" t="s">
        <v>768</v>
      </c>
      <c r="C31" s="248">
        <v>200</v>
      </c>
      <c r="D31" s="247">
        <v>110000</v>
      </c>
      <c r="E31" s="247">
        <v>110000</v>
      </c>
    </row>
    <row r="32" spans="1:5" ht="12.75">
      <c r="A32" s="13" t="s">
        <v>79</v>
      </c>
      <c r="B32" s="252" t="s">
        <v>768</v>
      </c>
      <c r="C32" s="248">
        <v>800</v>
      </c>
      <c r="D32" s="247">
        <v>500</v>
      </c>
      <c r="E32" s="247">
        <v>500</v>
      </c>
    </row>
    <row r="33" spans="1:5" ht="62.25" customHeight="1">
      <c r="A33" s="203" t="s">
        <v>715</v>
      </c>
      <c r="B33" s="252" t="s">
        <v>337</v>
      </c>
      <c r="C33" s="248"/>
      <c r="D33" s="247">
        <f>D34+D35+D36</f>
        <v>1094800</v>
      </c>
      <c r="E33" s="247">
        <f>E34+E35+E36</f>
        <v>1094800</v>
      </c>
    </row>
    <row r="34" spans="1:5" ht="63.75">
      <c r="A34" s="13" t="s">
        <v>740</v>
      </c>
      <c r="B34" s="252" t="s">
        <v>337</v>
      </c>
      <c r="C34" s="248">
        <v>100</v>
      </c>
      <c r="D34" s="247">
        <v>982100</v>
      </c>
      <c r="E34" s="247">
        <v>982100</v>
      </c>
    </row>
    <row r="35" spans="1:5" ht="25.5">
      <c r="A35" s="13" t="s">
        <v>232</v>
      </c>
      <c r="B35" s="252" t="s">
        <v>337</v>
      </c>
      <c r="C35" s="248">
        <v>200</v>
      </c>
      <c r="D35" s="247">
        <v>112200</v>
      </c>
      <c r="E35" s="247">
        <v>112200</v>
      </c>
    </row>
    <row r="36" spans="1:5" ht="12.75">
      <c r="A36" s="13" t="s">
        <v>79</v>
      </c>
      <c r="B36" s="252" t="s">
        <v>337</v>
      </c>
      <c r="C36" s="248">
        <v>800</v>
      </c>
      <c r="D36" s="247">
        <v>500</v>
      </c>
      <c r="E36" s="247">
        <v>500</v>
      </c>
    </row>
    <row r="37" spans="1:5" ht="51">
      <c r="A37" s="12" t="s">
        <v>167</v>
      </c>
      <c r="B37" s="252" t="s">
        <v>119</v>
      </c>
      <c r="C37" s="248" t="s">
        <v>89</v>
      </c>
      <c r="D37" s="250">
        <f>D38+D45+D49</f>
        <v>7465212</v>
      </c>
      <c r="E37" s="250">
        <f>E38+E45+E49</f>
        <v>7465212</v>
      </c>
    </row>
    <row r="38" spans="1:5" ht="25.5">
      <c r="A38" s="29" t="s">
        <v>647</v>
      </c>
      <c r="B38" s="252" t="s">
        <v>128</v>
      </c>
      <c r="C38" s="248"/>
      <c r="D38" s="250">
        <f>D39+D42</f>
        <v>7074641</v>
      </c>
      <c r="E38" s="250">
        <f>E39+E42</f>
        <v>7074641</v>
      </c>
    </row>
    <row r="39" spans="1:5" ht="25.5">
      <c r="A39" s="251" t="s">
        <v>594</v>
      </c>
      <c r="B39" s="249" t="s">
        <v>648</v>
      </c>
      <c r="C39" s="248" t="s">
        <v>89</v>
      </c>
      <c r="D39" s="250">
        <f>SUM(D40:D41)</f>
        <v>6592141</v>
      </c>
      <c r="E39" s="250">
        <f>SUM(E40:E41)</f>
        <v>6592141</v>
      </c>
    </row>
    <row r="40" spans="1:5" ht="25.5">
      <c r="A40" s="13" t="s">
        <v>232</v>
      </c>
      <c r="B40" s="249" t="s">
        <v>648</v>
      </c>
      <c r="C40" s="248">
        <v>200</v>
      </c>
      <c r="D40" s="247">
        <v>71000</v>
      </c>
      <c r="E40" s="247">
        <v>71000</v>
      </c>
    </row>
    <row r="41" spans="1:5" ht="25.5">
      <c r="A41" s="13" t="s">
        <v>83</v>
      </c>
      <c r="B41" s="249" t="s">
        <v>648</v>
      </c>
      <c r="C41" s="248">
        <v>300</v>
      </c>
      <c r="D41" s="247">
        <v>6521141</v>
      </c>
      <c r="E41" s="247">
        <v>6521141</v>
      </c>
    </row>
    <row r="42" spans="1:5" ht="25.5">
      <c r="A42" s="251" t="s">
        <v>595</v>
      </c>
      <c r="B42" s="249" t="s">
        <v>649</v>
      </c>
      <c r="C42" s="248" t="s">
        <v>89</v>
      </c>
      <c r="D42" s="250">
        <f>SUM(D43:D44)</f>
        <v>482500</v>
      </c>
      <c r="E42" s="250">
        <f>SUM(E43:E44)</f>
        <v>482500</v>
      </c>
    </row>
    <row r="43" spans="1:5" ht="25.5">
      <c r="A43" s="13" t="s">
        <v>232</v>
      </c>
      <c r="B43" s="249" t="s">
        <v>649</v>
      </c>
      <c r="C43" s="248">
        <v>200</v>
      </c>
      <c r="D43" s="247">
        <v>9500</v>
      </c>
      <c r="E43" s="247">
        <v>9500</v>
      </c>
    </row>
    <row r="44" spans="1:5" ht="25.5">
      <c r="A44" s="13" t="s">
        <v>83</v>
      </c>
      <c r="B44" s="249" t="s">
        <v>649</v>
      </c>
      <c r="C44" s="248" t="s">
        <v>82</v>
      </c>
      <c r="D44" s="247">
        <v>473000</v>
      </c>
      <c r="E44" s="247">
        <v>473000</v>
      </c>
    </row>
    <row r="45" spans="1:5" ht="25.5">
      <c r="A45" s="28" t="s">
        <v>125</v>
      </c>
      <c r="B45" s="252" t="s">
        <v>129</v>
      </c>
      <c r="C45" s="268"/>
      <c r="D45" s="250">
        <f>D46</f>
        <v>125083</v>
      </c>
      <c r="E45" s="250">
        <f>E46</f>
        <v>125083</v>
      </c>
    </row>
    <row r="46" spans="1:5" ht="38.25">
      <c r="A46" s="251" t="s">
        <v>266</v>
      </c>
      <c r="B46" s="249" t="s">
        <v>130</v>
      </c>
      <c r="C46" s="248" t="s">
        <v>89</v>
      </c>
      <c r="D46" s="250">
        <f>SUM(D47:D48)</f>
        <v>125083</v>
      </c>
      <c r="E46" s="250">
        <f>SUM(E47:E48)</f>
        <v>125083</v>
      </c>
    </row>
    <row r="47" spans="1:5" ht="25.5">
      <c r="A47" s="13" t="s">
        <v>232</v>
      </c>
      <c r="B47" s="249" t="s">
        <v>130</v>
      </c>
      <c r="C47" s="248">
        <v>200</v>
      </c>
      <c r="D47" s="250">
        <v>1900</v>
      </c>
      <c r="E47" s="250">
        <v>1900</v>
      </c>
    </row>
    <row r="48" spans="1:5" ht="25.5">
      <c r="A48" s="13" t="s">
        <v>83</v>
      </c>
      <c r="B48" s="249" t="s">
        <v>130</v>
      </c>
      <c r="C48" s="248" t="s">
        <v>82</v>
      </c>
      <c r="D48" s="247">
        <v>123183</v>
      </c>
      <c r="E48" s="247">
        <v>123183</v>
      </c>
    </row>
    <row r="49" spans="1:5" ht="38.25">
      <c r="A49" s="31" t="s">
        <v>650</v>
      </c>
      <c r="B49" s="252" t="s">
        <v>131</v>
      </c>
      <c r="C49" s="268"/>
      <c r="D49" s="250">
        <f>D50</f>
        <v>265488</v>
      </c>
      <c r="E49" s="250">
        <f>E50</f>
        <v>265488</v>
      </c>
    </row>
    <row r="50" spans="1:5" ht="38.25">
      <c r="A50" s="251" t="s">
        <v>496</v>
      </c>
      <c r="B50" s="249" t="s">
        <v>132</v>
      </c>
      <c r="C50" s="248" t="s">
        <v>89</v>
      </c>
      <c r="D50" s="250">
        <f>SUM(D51:D52)</f>
        <v>265488</v>
      </c>
      <c r="E50" s="250">
        <f>SUM(E51:E52)</f>
        <v>265488</v>
      </c>
    </row>
    <row r="51" spans="1:5" ht="25.5">
      <c r="A51" s="13" t="s">
        <v>232</v>
      </c>
      <c r="B51" s="249" t="s">
        <v>132</v>
      </c>
      <c r="C51" s="248">
        <v>200</v>
      </c>
      <c r="D51" s="247">
        <v>2000</v>
      </c>
      <c r="E51" s="247">
        <v>2000</v>
      </c>
    </row>
    <row r="52" spans="1:5" ht="25.5">
      <c r="A52" s="13" t="s">
        <v>83</v>
      </c>
      <c r="B52" s="249" t="s">
        <v>132</v>
      </c>
      <c r="C52" s="248">
        <v>300</v>
      </c>
      <c r="D52" s="247">
        <v>263488</v>
      </c>
      <c r="E52" s="247">
        <v>263488</v>
      </c>
    </row>
    <row r="53" spans="1:5" ht="63.75">
      <c r="A53" s="12" t="s">
        <v>176</v>
      </c>
      <c r="B53" s="268" t="s">
        <v>7</v>
      </c>
      <c r="C53" s="268"/>
      <c r="D53" s="250">
        <f>D54+D61+D64+D68</f>
        <v>58543642</v>
      </c>
      <c r="E53" s="250">
        <f>E54+E61+E64+E68</f>
        <v>59484070</v>
      </c>
    </row>
    <row r="54" spans="1:5" ht="38.25">
      <c r="A54" s="29" t="s">
        <v>762</v>
      </c>
      <c r="B54" s="268" t="s">
        <v>126</v>
      </c>
      <c r="C54" s="248"/>
      <c r="D54" s="250">
        <f>D55+D57+D59</f>
        <v>47192196</v>
      </c>
      <c r="E54" s="250">
        <f>E55+E57+E59</f>
        <v>50039667</v>
      </c>
    </row>
    <row r="55" spans="1:5" ht="12.75">
      <c r="A55" s="28" t="s">
        <v>560</v>
      </c>
      <c r="B55" s="249" t="s">
        <v>763</v>
      </c>
      <c r="C55" s="248"/>
      <c r="D55" s="250">
        <f>D56</f>
        <v>1707915</v>
      </c>
      <c r="E55" s="250">
        <f>E56</f>
        <v>1707915</v>
      </c>
    </row>
    <row r="56" spans="1:5" ht="25.5">
      <c r="A56" s="13" t="s">
        <v>83</v>
      </c>
      <c r="B56" s="249" t="s">
        <v>763</v>
      </c>
      <c r="C56" s="248">
        <v>300</v>
      </c>
      <c r="D56" s="247">
        <v>1707915</v>
      </c>
      <c r="E56" s="247">
        <v>1707915</v>
      </c>
    </row>
    <row r="57" spans="1:5" ht="25.5">
      <c r="A57" s="205" t="s">
        <v>515</v>
      </c>
      <c r="B57" s="249" t="s">
        <v>516</v>
      </c>
      <c r="C57" s="248"/>
      <c r="D57" s="247">
        <f>D58</f>
        <v>44608300</v>
      </c>
      <c r="E57" s="247">
        <f>E58</f>
        <v>47416182</v>
      </c>
    </row>
    <row r="58" spans="1:5" ht="25.5">
      <c r="A58" s="13" t="s">
        <v>83</v>
      </c>
      <c r="B58" s="249" t="s">
        <v>516</v>
      </c>
      <c r="C58" s="248">
        <v>300</v>
      </c>
      <c r="D58" s="247">
        <v>44608300</v>
      </c>
      <c r="E58" s="247">
        <v>47416182</v>
      </c>
    </row>
    <row r="59" spans="1:5" ht="38.25">
      <c r="A59" s="205" t="s">
        <v>517</v>
      </c>
      <c r="B59" s="249" t="s">
        <v>518</v>
      </c>
      <c r="C59" s="248"/>
      <c r="D59" s="247">
        <f>D60</f>
        <v>875981</v>
      </c>
      <c r="E59" s="247">
        <f>E60</f>
        <v>915570</v>
      </c>
    </row>
    <row r="60" spans="1:5" ht="25.5">
      <c r="A60" s="13" t="s">
        <v>232</v>
      </c>
      <c r="B60" s="249" t="s">
        <v>518</v>
      </c>
      <c r="C60" s="248">
        <v>200</v>
      </c>
      <c r="D60" s="247">
        <v>875981</v>
      </c>
      <c r="E60" s="247">
        <v>915570</v>
      </c>
    </row>
    <row r="61" spans="1:5" ht="63.75">
      <c r="A61" s="29" t="s">
        <v>127</v>
      </c>
      <c r="B61" s="252" t="s">
        <v>764</v>
      </c>
      <c r="C61" s="248"/>
      <c r="D61" s="250">
        <f>D62</f>
        <v>6119254</v>
      </c>
      <c r="E61" s="250">
        <f>E62</f>
        <v>6326257</v>
      </c>
    </row>
    <row r="62" spans="1:5" ht="38.25">
      <c r="A62" s="251" t="s">
        <v>596</v>
      </c>
      <c r="B62" s="249" t="s">
        <v>765</v>
      </c>
      <c r="C62" s="248" t="s">
        <v>89</v>
      </c>
      <c r="D62" s="250">
        <f>SUM(D63:D63)</f>
        <v>6119254</v>
      </c>
      <c r="E62" s="250">
        <f>SUM(E63:E63)</f>
        <v>6326257</v>
      </c>
    </row>
    <row r="63" spans="1:5" ht="25.5">
      <c r="A63" s="13" t="s">
        <v>83</v>
      </c>
      <c r="B63" s="249" t="s">
        <v>765</v>
      </c>
      <c r="C63" s="248">
        <v>300</v>
      </c>
      <c r="D63" s="247">
        <v>6119254</v>
      </c>
      <c r="E63" s="247">
        <v>6326257</v>
      </c>
    </row>
    <row r="64" spans="1:5" ht="51">
      <c r="A64" s="13" t="s">
        <v>593</v>
      </c>
      <c r="B64" s="268" t="s">
        <v>600</v>
      </c>
      <c r="C64" s="248"/>
      <c r="D64" s="250">
        <f>D65</f>
        <v>1004100</v>
      </c>
      <c r="E64" s="250">
        <f>E65</f>
        <v>1004100</v>
      </c>
    </row>
    <row r="65" spans="1:5" ht="51">
      <c r="A65" s="251" t="s">
        <v>286</v>
      </c>
      <c r="B65" s="249" t="s">
        <v>456</v>
      </c>
      <c r="C65" s="248"/>
      <c r="D65" s="250">
        <f>SUM(D66:D67)</f>
        <v>1004100</v>
      </c>
      <c r="E65" s="250">
        <f>SUM(E66:E67)</f>
        <v>1004100</v>
      </c>
    </row>
    <row r="66" spans="1:5" ht="63.75">
      <c r="A66" s="13" t="s">
        <v>740</v>
      </c>
      <c r="B66" s="249" t="s">
        <v>456</v>
      </c>
      <c r="C66" s="248">
        <v>100</v>
      </c>
      <c r="D66" s="247">
        <v>967900</v>
      </c>
      <c r="E66" s="247">
        <v>967900</v>
      </c>
    </row>
    <row r="67" spans="1:5" ht="25.5">
      <c r="A67" s="246" t="s">
        <v>232</v>
      </c>
      <c r="B67" s="245" t="s">
        <v>456</v>
      </c>
      <c r="C67" s="244" t="s">
        <v>76</v>
      </c>
      <c r="D67" s="243">
        <v>36200</v>
      </c>
      <c r="E67" s="243">
        <v>36200</v>
      </c>
    </row>
    <row r="68" spans="1:5" ht="38.25">
      <c r="A68" s="483" t="s">
        <v>952</v>
      </c>
      <c r="B68" s="192" t="s">
        <v>950</v>
      </c>
      <c r="C68" s="191"/>
      <c r="D68" s="247">
        <f>D69</f>
        <v>4228092</v>
      </c>
      <c r="E68" s="247">
        <f>E69</f>
        <v>2114046</v>
      </c>
    </row>
    <row r="69" spans="1:5" ht="51">
      <c r="A69" s="483" t="s">
        <v>924</v>
      </c>
      <c r="B69" s="192" t="s">
        <v>933</v>
      </c>
      <c r="C69" s="191"/>
      <c r="D69" s="247">
        <f>D70</f>
        <v>4228092</v>
      </c>
      <c r="E69" s="247">
        <f>E70</f>
        <v>2114046</v>
      </c>
    </row>
    <row r="70" spans="1:5" ht="30.75" customHeight="1">
      <c r="A70" s="483" t="s">
        <v>225</v>
      </c>
      <c r="B70" s="192" t="s">
        <v>933</v>
      </c>
      <c r="C70" s="191">
        <v>400</v>
      </c>
      <c r="D70" s="247">
        <v>4228092</v>
      </c>
      <c r="E70" s="247">
        <v>2114046</v>
      </c>
    </row>
    <row r="71" spans="1:5" ht="38.25">
      <c r="A71" s="257" t="s">
        <v>281</v>
      </c>
      <c r="B71" s="335" t="s">
        <v>562</v>
      </c>
      <c r="C71" s="224" t="s">
        <v>89</v>
      </c>
      <c r="D71" s="223">
        <f>D72+D86+D125</f>
        <v>249446287</v>
      </c>
      <c r="E71" s="223">
        <f>E72+E86+E125</f>
        <v>245905373</v>
      </c>
    </row>
    <row r="72" spans="1:5" ht="51">
      <c r="A72" s="12" t="s">
        <v>245</v>
      </c>
      <c r="B72" s="249" t="s">
        <v>313</v>
      </c>
      <c r="C72" s="248" t="s">
        <v>89</v>
      </c>
      <c r="D72" s="250">
        <f>D73+D76+D81</f>
        <v>9662223</v>
      </c>
      <c r="E72" s="250">
        <f>E73+E76+E81</f>
        <v>9084296</v>
      </c>
    </row>
    <row r="73" spans="1:5" ht="51">
      <c r="A73" s="28" t="s">
        <v>465</v>
      </c>
      <c r="B73" s="249" t="s">
        <v>314</v>
      </c>
      <c r="C73" s="248"/>
      <c r="D73" s="250">
        <f>D74</f>
        <v>236023</v>
      </c>
      <c r="E73" s="250">
        <f>E74</f>
        <v>236023</v>
      </c>
    </row>
    <row r="74" spans="1:5" ht="38.25">
      <c r="A74" s="13" t="s">
        <v>601</v>
      </c>
      <c r="B74" s="249" t="s">
        <v>315</v>
      </c>
      <c r="C74" s="248"/>
      <c r="D74" s="250">
        <f>D75</f>
        <v>236023</v>
      </c>
      <c r="E74" s="250">
        <f>E75</f>
        <v>236023</v>
      </c>
    </row>
    <row r="75" spans="1:5" ht="63.75">
      <c r="A75" s="13" t="s">
        <v>740</v>
      </c>
      <c r="B75" s="249" t="s">
        <v>315</v>
      </c>
      <c r="C75" s="248">
        <v>100</v>
      </c>
      <c r="D75" s="247">
        <v>236023</v>
      </c>
      <c r="E75" s="247">
        <v>236023</v>
      </c>
    </row>
    <row r="76" spans="1:5" ht="38.25">
      <c r="A76" s="33" t="s">
        <v>330</v>
      </c>
      <c r="B76" s="249" t="s">
        <v>317</v>
      </c>
      <c r="C76" s="248"/>
      <c r="D76" s="250">
        <f>D77</f>
        <v>8051438</v>
      </c>
      <c r="E76" s="250">
        <f>E77</f>
        <v>7557799</v>
      </c>
    </row>
    <row r="77" spans="1:5" ht="25.5">
      <c r="A77" s="251" t="s">
        <v>498</v>
      </c>
      <c r="B77" s="249" t="s">
        <v>318</v>
      </c>
      <c r="C77" s="248" t="s">
        <v>89</v>
      </c>
      <c r="D77" s="250">
        <f>SUM(D78:D80)</f>
        <v>8051438</v>
      </c>
      <c r="E77" s="250">
        <f>SUM(E78:E80)</f>
        <v>7557799</v>
      </c>
    </row>
    <row r="78" spans="1:5" ht="63.75">
      <c r="A78" s="13" t="s">
        <v>740</v>
      </c>
      <c r="B78" s="249" t="s">
        <v>318</v>
      </c>
      <c r="C78" s="248" t="s">
        <v>597</v>
      </c>
      <c r="D78" s="247">
        <v>7641344</v>
      </c>
      <c r="E78" s="247">
        <v>7172848</v>
      </c>
    </row>
    <row r="79" spans="1:5" ht="25.5">
      <c r="A79" s="13" t="s">
        <v>232</v>
      </c>
      <c r="B79" s="249" t="s">
        <v>318</v>
      </c>
      <c r="C79" s="248" t="s">
        <v>76</v>
      </c>
      <c r="D79" s="247">
        <v>404804</v>
      </c>
      <c r="E79" s="247">
        <v>379985</v>
      </c>
    </row>
    <row r="80" spans="1:5" ht="12.75">
      <c r="A80" s="13" t="s">
        <v>79</v>
      </c>
      <c r="B80" s="249" t="s">
        <v>318</v>
      </c>
      <c r="C80" s="248">
        <v>800</v>
      </c>
      <c r="D80" s="247">
        <v>5290</v>
      </c>
      <c r="E80" s="247">
        <v>4966</v>
      </c>
    </row>
    <row r="81" spans="1:5" ht="38.25">
      <c r="A81" s="251" t="s">
        <v>642</v>
      </c>
      <c r="B81" s="249" t="s">
        <v>644</v>
      </c>
      <c r="C81" s="248"/>
      <c r="D81" s="250">
        <f>D82</f>
        <v>1374762</v>
      </c>
      <c r="E81" s="250">
        <f>E82</f>
        <v>1290474</v>
      </c>
    </row>
    <row r="82" spans="1:5" ht="25.5">
      <c r="A82" s="251" t="s">
        <v>736</v>
      </c>
      <c r="B82" s="249" t="s">
        <v>645</v>
      </c>
      <c r="C82" s="248"/>
      <c r="D82" s="250">
        <f>SUM(D83:D85)</f>
        <v>1374762</v>
      </c>
      <c r="E82" s="250">
        <f>SUM(E83:E85)</f>
        <v>1290474</v>
      </c>
    </row>
    <row r="83" spans="1:5" ht="63.75">
      <c r="A83" s="13" t="s">
        <v>740</v>
      </c>
      <c r="B83" s="249" t="s">
        <v>645</v>
      </c>
      <c r="C83" s="248" t="s">
        <v>597</v>
      </c>
      <c r="D83" s="247">
        <v>1290762</v>
      </c>
      <c r="E83" s="247">
        <v>1211624</v>
      </c>
    </row>
    <row r="84" spans="1:5" ht="25.5">
      <c r="A84" s="13" t="s">
        <v>232</v>
      </c>
      <c r="B84" s="249" t="s">
        <v>645</v>
      </c>
      <c r="C84" s="248" t="s">
        <v>76</v>
      </c>
      <c r="D84" s="247">
        <v>84000</v>
      </c>
      <c r="E84" s="247">
        <v>78850</v>
      </c>
    </row>
    <row r="85" spans="1:5" ht="12.75">
      <c r="A85" s="13" t="s">
        <v>79</v>
      </c>
      <c r="B85" s="249" t="s">
        <v>645</v>
      </c>
      <c r="C85" s="248">
        <v>800</v>
      </c>
      <c r="D85" s="247"/>
      <c r="E85" s="247"/>
    </row>
    <row r="86" spans="1:5" ht="51">
      <c r="A86" s="12" t="s">
        <v>282</v>
      </c>
      <c r="B86" s="252" t="s">
        <v>563</v>
      </c>
      <c r="C86" s="248" t="s">
        <v>89</v>
      </c>
      <c r="D86" s="250">
        <f>D87+D95+D99+D104+D117+D120</f>
        <v>222010550</v>
      </c>
      <c r="E86" s="250">
        <f>E87+E95+E99+E104+E117+E120</f>
        <v>220137270</v>
      </c>
    </row>
    <row r="87" spans="1:5" ht="25.5">
      <c r="A87" s="28" t="s">
        <v>460</v>
      </c>
      <c r="B87" s="249" t="s">
        <v>564</v>
      </c>
      <c r="C87" s="248"/>
      <c r="D87" s="250">
        <f>D88+D91</f>
        <v>92601566</v>
      </c>
      <c r="E87" s="250">
        <f>E88+E91</f>
        <v>90778726</v>
      </c>
    </row>
    <row r="88" spans="1:5" ht="114.75">
      <c r="A88" s="13" t="s">
        <v>302</v>
      </c>
      <c r="B88" s="249" t="s">
        <v>303</v>
      </c>
      <c r="C88" s="248" t="s">
        <v>89</v>
      </c>
      <c r="D88" s="250">
        <f>SUM(D89:D90)</f>
        <v>55488082</v>
      </c>
      <c r="E88" s="250">
        <f>SUM(E89:E90)</f>
        <v>55488082</v>
      </c>
    </row>
    <row r="89" spans="1:5" ht="63.75">
      <c r="A89" s="13" t="s">
        <v>740</v>
      </c>
      <c r="B89" s="249" t="s">
        <v>303</v>
      </c>
      <c r="C89" s="248" t="s">
        <v>597</v>
      </c>
      <c r="D89" s="247">
        <v>55063202</v>
      </c>
      <c r="E89" s="247">
        <v>55063202</v>
      </c>
    </row>
    <row r="90" spans="1:5" ht="25.5">
      <c r="A90" s="13" t="s">
        <v>232</v>
      </c>
      <c r="B90" s="249" t="s">
        <v>303</v>
      </c>
      <c r="C90" s="248" t="s">
        <v>76</v>
      </c>
      <c r="D90" s="247">
        <v>424880</v>
      </c>
      <c r="E90" s="247">
        <v>424880</v>
      </c>
    </row>
    <row r="91" spans="1:5" ht="25.5">
      <c r="A91" s="251" t="s">
        <v>498</v>
      </c>
      <c r="B91" s="249" t="s">
        <v>304</v>
      </c>
      <c r="C91" s="248"/>
      <c r="D91" s="250">
        <f>SUM(D92:D94)</f>
        <v>37113484</v>
      </c>
      <c r="E91" s="250">
        <f>SUM(E92:E94)</f>
        <v>35290644</v>
      </c>
    </row>
    <row r="92" spans="1:5" ht="63.75">
      <c r="A92" s="13" t="s">
        <v>740</v>
      </c>
      <c r="B92" s="249" t="s">
        <v>304</v>
      </c>
      <c r="C92" s="248">
        <v>100</v>
      </c>
      <c r="D92" s="247">
        <v>18466929</v>
      </c>
      <c r="E92" s="247">
        <v>17334708</v>
      </c>
    </row>
    <row r="93" spans="1:5" ht="25.5">
      <c r="A93" s="13" t="s">
        <v>232</v>
      </c>
      <c r="B93" s="249" t="s">
        <v>304</v>
      </c>
      <c r="C93" s="248">
        <v>200</v>
      </c>
      <c r="D93" s="247">
        <v>16366724</v>
      </c>
      <c r="E93" s="247">
        <v>15815883</v>
      </c>
    </row>
    <row r="94" spans="1:5" ht="12.75">
      <c r="A94" s="13" t="s">
        <v>79</v>
      </c>
      <c r="B94" s="249" t="s">
        <v>304</v>
      </c>
      <c r="C94" s="248">
        <v>800</v>
      </c>
      <c r="D94" s="247">
        <v>2279831</v>
      </c>
      <c r="E94" s="247">
        <v>2140053</v>
      </c>
    </row>
    <row r="95" spans="1:5" ht="25.5">
      <c r="A95" s="28" t="s">
        <v>253</v>
      </c>
      <c r="B95" s="249" t="s">
        <v>133</v>
      </c>
      <c r="C95" s="248"/>
      <c r="D95" s="250">
        <f>D96</f>
        <v>5116098</v>
      </c>
      <c r="E95" s="250">
        <f>E96</f>
        <v>5116098</v>
      </c>
    </row>
    <row r="96" spans="1:5" ht="12.75">
      <c r="A96" s="13" t="s">
        <v>327</v>
      </c>
      <c r="B96" s="249" t="s">
        <v>247</v>
      </c>
      <c r="C96" s="248"/>
      <c r="D96" s="250">
        <f>SUM(D97:D98)</f>
        <v>5116098</v>
      </c>
      <c r="E96" s="250">
        <f>SUM(E97:E98)</f>
        <v>5116098</v>
      </c>
    </row>
    <row r="97" spans="1:5" ht="25.5">
      <c r="A97" s="13" t="s">
        <v>232</v>
      </c>
      <c r="B97" s="249" t="s">
        <v>247</v>
      </c>
      <c r="C97" s="248">
        <v>200</v>
      </c>
      <c r="D97" s="247">
        <v>20382</v>
      </c>
      <c r="E97" s="247">
        <v>20382</v>
      </c>
    </row>
    <row r="98" spans="1:5" ht="25.5">
      <c r="A98" s="13" t="s">
        <v>83</v>
      </c>
      <c r="B98" s="249" t="s">
        <v>247</v>
      </c>
      <c r="C98" s="248">
        <v>300</v>
      </c>
      <c r="D98" s="247">
        <v>5095716</v>
      </c>
      <c r="E98" s="247">
        <v>5095716</v>
      </c>
    </row>
    <row r="99" spans="1:5" ht="25.5">
      <c r="A99" s="28" t="s">
        <v>462</v>
      </c>
      <c r="B99" s="249" t="s">
        <v>305</v>
      </c>
      <c r="C99" s="248"/>
      <c r="D99" s="250">
        <f>D100+D102</f>
        <v>108742302</v>
      </c>
      <c r="E99" s="250">
        <f>E100+E102</f>
        <v>107977893</v>
      </c>
    </row>
    <row r="100" spans="1:5" ht="114.75">
      <c r="A100" s="13" t="s">
        <v>686</v>
      </c>
      <c r="B100" s="249" t="s">
        <v>306</v>
      </c>
      <c r="C100" s="248" t="s">
        <v>89</v>
      </c>
      <c r="D100" s="250">
        <f>D101</f>
        <v>96274514</v>
      </c>
      <c r="E100" s="250">
        <f>E101</f>
        <v>96274514</v>
      </c>
    </row>
    <row r="101" spans="1:5" ht="38.25">
      <c r="A101" s="13" t="s">
        <v>92</v>
      </c>
      <c r="B101" s="249" t="s">
        <v>306</v>
      </c>
      <c r="C101" s="248">
        <v>600</v>
      </c>
      <c r="D101" s="247">
        <v>96274514</v>
      </c>
      <c r="E101" s="247">
        <v>96274514</v>
      </c>
    </row>
    <row r="102" spans="1:5" ht="25.5">
      <c r="A102" s="251" t="s">
        <v>498</v>
      </c>
      <c r="B102" s="249" t="s">
        <v>307</v>
      </c>
      <c r="C102" s="248"/>
      <c r="D102" s="250">
        <f>D103</f>
        <v>12467788</v>
      </c>
      <c r="E102" s="250">
        <f>E103</f>
        <v>11703379</v>
      </c>
    </row>
    <row r="103" spans="1:5" ht="38.25">
      <c r="A103" s="13" t="s">
        <v>92</v>
      </c>
      <c r="B103" s="249" t="s">
        <v>307</v>
      </c>
      <c r="C103" s="248">
        <v>600</v>
      </c>
      <c r="D103" s="247">
        <v>12467788</v>
      </c>
      <c r="E103" s="247">
        <v>11703379</v>
      </c>
    </row>
    <row r="104" spans="1:5" ht="25.5">
      <c r="A104" s="28" t="s">
        <v>463</v>
      </c>
      <c r="B104" s="252" t="s">
        <v>308</v>
      </c>
      <c r="C104" s="248"/>
      <c r="D104" s="250">
        <f>D105+D107+D109+D113+D115+D111</f>
        <v>15550584</v>
      </c>
      <c r="E104" s="250">
        <f>E105+E107+E109+E113+E115+E111</f>
        <v>16264553</v>
      </c>
    </row>
    <row r="105" spans="1:5" ht="51">
      <c r="A105" s="26" t="s">
        <v>400</v>
      </c>
      <c r="B105" s="249" t="s">
        <v>401</v>
      </c>
      <c r="C105" s="248"/>
      <c r="D105" s="250">
        <f>D106</f>
        <v>6093224</v>
      </c>
      <c r="E105" s="250">
        <f>E106</f>
        <v>6274579</v>
      </c>
    </row>
    <row r="106" spans="1:5" ht="38.25">
      <c r="A106" s="13" t="s">
        <v>92</v>
      </c>
      <c r="B106" s="249" t="s">
        <v>401</v>
      </c>
      <c r="C106" s="248">
        <v>600</v>
      </c>
      <c r="D106" s="250">
        <v>6093224</v>
      </c>
      <c r="E106" s="250">
        <v>6274579</v>
      </c>
    </row>
    <row r="107" spans="1:5" ht="76.5">
      <c r="A107" s="73" t="s">
        <v>751</v>
      </c>
      <c r="B107" s="285" t="s">
        <v>752</v>
      </c>
      <c r="C107" s="248"/>
      <c r="D107" s="250">
        <f>D108</f>
        <v>318065</v>
      </c>
      <c r="E107" s="250">
        <f>E108</f>
        <v>318065</v>
      </c>
    </row>
    <row r="108" spans="1:5" ht="38.25">
      <c r="A108" s="287" t="s">
        <v>92</v>
      </c>
      <c r="B108" s="285" t="s">
        <v>752</v>
      </c>
      <c r="C108" s="248">
        <v>600</v>
      </c>
      <c r="D108" s="250">
        <v>318065</v>
      </c>
      <c r="E108" s="250">
        <v>318065</v>
      </c>
    </row>
    <row r="109" spans="1:5" ht="76.5">
      <c r="A109" s="25" t="s">
        <v>299</v>
      </c>
      <c r="B109" s="285" t="s">
        <v>309</v>
      </c>
      <c r="C109" s="295"/>
      <c r="D109" s="250">
        <f>D110</f>
        <v>2127215</v>
      </c>
      <c r="E109" s="250">
        <f>E110</f>
        <v>2127215</v>
      </c>
    </row>
    <row r="110" spans="1:5" ht="38.25">
      <c r="A110" s="287" t="s">
        <v>92</v>
      </c>
      <c r="B110" s="285" t="s">
        <v>309</v>
      </c>
      <c r="C110" s="295">
        <v>600</v>
      </c>
      <c r="D110" s="247">
        <v>2127215</v>
      </c>
      <c r="E110" s="247">
        <v>2127215</v>
      </c>
    </row>
    <row r="111" spans="1:5" ht="25.5">
      <c r="A111" s="193" t="s">
        <v>498</v>
      </c>
      <c r="B111" s="192" t="s">
        <v>399</v>
      </c>
      <c r="C111" s="191"/>
      <c r="D111" s="247">
        <f>D112</f>
        <v>430000</v>
      </c>
      <c r="E111" s="247">
        <f>E112</f>
        <v>963840</v>
      </c>
    </row>
    <row r="112" spans="1:5" ht="38.25">
      <c r="A112" s="203" t="s">
        <v>92</v>
      </c>
      <c r="B112" s="192" t="s">
        <v>399</v>
      </c>
      <c r="C112" s="191">
        <v>600</v>
      </c>
      <c r="D112" s="247">
        <v>430000</v>
      </c>
      <c r="E112" s="247">
        <v>963840</v>
      </c>
    </row>
    <row r="113" spans="1:5" ht="24">
      <c r="A113" s="23" t="s">
        <v>218</v>
      </c>
      <c r="B113" s="249" t="s">
        <v>277</v>
      </c>
      <c r="C113" s="248"/>
      <c r="D113" s="250">
        <f>D114</f>
        <v>20000</v>
      </c>
      <c r="E113" s="250">
        <f>E114</f>
        <v>18774</v>
      </c>
    </row>
    <row r="114" spans="1:5" ht="38.25">
      <c r="A114" s="13" t="s">
        <v>92</v>
      </c>
      <c r="B114" s="249" t="s">
        <v>277</v>
      </c>
      <c r="C114" s="248">
        <v>300</v>
      </c>
      <c r="D114" s="247">
        <v>20000</v>
      </c>
      <c r="E114" s="247">
        <v>18774</v>
      </c>
    </row>
    <row r="115" spans="1:5" ht="51">
      <c r="A115" s="13" t="s">
        <v>513</v>
      </c>
      <c r="B115" s="285" t="s">
        <v>514</v>
      </c>
      <c r="C115" s="248"/>
      <c r="D115" s="247">
        <f>D116</f>
        <v>6562080</v>
      </c>
      <c r="E115" s="247">
        <f>E116</f>
        <v>6562080</v>
      </c>
    </row>
    <row r="116" spans="1:5" ht="38.25">
      <c r="A116" s="13" t="s">
        <v>92</v>
      </c>
      <c r="B116" s="285" t="s">
        <v>514</v>
      </c>
      <c r="C116" s="248">
        <v>600</v>
      </c>
      <c r="D116" s="247">
        <v>6562080</v>
      </c>
      <c r="E116" s="247">
        <v>6562080</v>
      </c>
    </row>
    <row r="117" spans="1:5" ht="12.75" hidden="1">
      <c r="A117" s="296" t="s">
        <v>755</v>
      </c>
      <c r="B117" s="249" t="s">
        <v>335</v>
      </c>
      <c r="C117" s="295"/>
      <c r="D117" s="250">
        <f>D119</f>
        <v>0</v>
      </c>
      <c r="E117" s="250">
        <f>E119</f>
        <v>0</v>
      </c>
    </row>
    <row r="118" spans="1:5" ht="76.5" hidden="1">
      <c r="A118" s="395" t="s">
        <v>156</v>
      </c>
      <c r="B118" s="249" t="s">
        <v>336</v>
      </c>
      <c r="C118" s="295"/>
      <c r="D118" s="250">
        <f>D119</f>
        <v>0</v>
      </c>
      <c r="E118" s="250">
        <f>E119</f>
        <v>0</v>
      </c>
    </row>
    <row r="119" spans="1:5" ht="38.25" hidden="1">
      <c r="A119" s="287" t="s">
        <v>92</v>
      </c>
      <c r="B119" s="249" t="s">
        <v>336</v>
      </c>
      <c r="C119" s="295">
        <v>600</v>
      </c>
      <c r="D119" s="247"/>
      <c r="E119" s="247"/>
    </row>
    <row r="120" spans="1:5" ht="25.5" hidden="1">
      <c r="A120" s="296" t="s">
        <v>110</v>
      </c>
      <c r="B120" s="249" t="s">
        <v>64</v>
      </c>
      <c r="C120" s="295"/>
      <c r="D120" s="250">
        <f>D121+D123</f>
        <v>0</v>
      </c>
      <c r="E120" s="250">
        <f>E121</f>
        <v>0</v>
      </c>
    </row>
    <row r="121" spans="1:5" ht="38.25" hidden="1">
      <c r="A121" s="395" t="s">
        <v>157</v>
      </c>
      <c r="B121" s="249" t="s">
        <v>65</v>
      </c>
      <c r="C121" s="295"/>
      <c r="D121" s="250">
        <f>D122</f>
        <v>0</v>
      </c>
      <c r="E121" s="250">
        <f>E122</f>
        <v>0</v>
      </c>
    </row>
    <row r="122" spans="1:5" ht="41.25" customHeight="1" hidden="1">
      <c r="A122" s="287" t="s">
        <v>92</v>
      </c>
      <c r="B122" s="249" t="s">
        <v>65</v>
      </c>
      <c r="C122" s="295">
        <v>600</v>
      </c>
      <c r="D122" s="247"/>
      <c r="E122" s="247"/>
    </row>
    <row r="123" spans="1:5" ht="41.25" customHeight="1" hidden="1">
      <c r="A123" s="296" t="s">
        <v>63</v>
      </c>
      <c r="B123" s="249" t="s">
        <v>358</v>
      </c>
      <c r="C123" s="295"/>
      <c r="D123" s="247">
        <f>D124</f>
        <v>0</v>
      </c>
      <c r="E123" s="247"/>
    </row>
    <row r="124" spans="1:5" ht="41.25" customHeight="1" hidden="1">
      <c r="A124" s="287" t="s">
        <v>92</v>
      </c>
      <c r="B124" s="249" t="s">
        <v>358</v>
      </c>
      <c r="C124" s="295">
        <v>600</v>
      </c>
      <c r="D124" s="247"/>
      <c r="E124" s="247"/>
    </row>
    <row r="125" spans="1:5" ht="51">
      <c r="A125" s="12" t="s">
        <v>5</v>
      </c>
      <c r="B125" s="252" t="s">
        <v>310</v>
      </c>
      <c r="C125" s="248" t="s">
        <v>89</v>
      </c>
      <c r="D125" s="250">
        <f aca="true" t="shared" si="0" ref="D125:E127">D126</f>
        <v>17773514</v>
      </c>
      <c r="E125" s="250">
        <f t="shared" si="0"/>
        <v>16683807</v>
      </c>
    </row>
    <row r="126" spans="1:5" ht="38.25">
      <c r="A126" s="28" t="s">
        <v>464</v>
      </c>
      <c r="B126" s="249" t="s">
        <v>311</v>
      </c>
      <c r="C126" s="248"/>
      <c r="D126" s="250">
        <f t="shared" si="0"/>
        <v>17773514</v>
      </c>
      <c r="E126" s="250">
        <f t="shared" si="0"/>
        <v>16683807</v>
      </c>
    </row>
    <row r="127" spans="1:5" ht="25.5">
      <c r="A127" s="251" t="s">
        <v>498</v>
      </c>
      <c r="B127" s="249" t="s">
        <v>312</v>
      </c>
      <c r="C127" s="248" t="s">
        <v>89</v>
      </c>
      <c r="D127" s="250">
        <f t="shared" si="0"/>
        <v>17773514</v>
      </c>
      <c r="E127" s="250">
        <f t="shared" si="0"/>
        <v>16683807</v>
      </c>
    </row>
    <row r="128" spans="1:5" ht="38.25">
      <c r="A128" s="347" t="s">
        <v>92</v>
      </c>
      <c r="B128" s="245" t="s">
        <v>312</v>
      </c>
      <c r="C128" s="244">
        <v>600</v>
      </c>
      <c r="D128" s="243">
        <v>17773514</v>
      </c>
      <c r="E128" s="243">
        <v>16683807</v>
      </c>
    </row>
    <row r="129" spans="1:5" ht="63.75">
      <c r="A129" s="210" t="s">
        <v>716</v>
      </c>
      <c r="B129" s="335" t="s">
        <v>8</v>
      </c>
      <c r="C129" s="224" t="s">
        <v>89</v>
      </c>
      <c r="D129" s="223">
        <f aca="true" t="shared" si="1" ref="D129:E131">D130</f>
        <v>662105</v>
      </c>
      <c r="E129" s="223">
        <f t="shared" si="1"/>
        <v>903118</v>
      </c>
    </row>
    <row r="130" spans="1:5" ht="89.25">
      <c r="A130" s="269" t="s">
        <v>717</v>
      </c>
      <c r="B130" s="249" t="s">
        <v>9</v>
      </c>
      <c r="C130" s="264" t="s">
        <v>89</v>
      </c>
      <c r="D130" s="250">
        <f t="shared" si="1"/>
        <v>662105</v>
      </c>
      <c r="E130" s="250">
        <f t="shared" si="1"/>
        <v>903118</v>
      </c>
    </row>
    <row r="131" spans="1:5" ht="51">
      <c r="A131" s="29" t="s">
        <v>39</v>
      </c>
      <c r="B131" s="249" t="s">
        <v>10</v>
      </c>
      <c r="C131" s="264"/>
      <c r="D131" s="250">
        <f t="shared" si="1"/>
        <v>662105</v>
      </c>
      <c r="E131" s="250">
        <f t="shared" si="1"/>
        <v>903118</v>
      </c>
    </row>
    <row r="132" spans="1:5" ht="25.5">
      <c r="A132" s="251" t="s">
        <v>287</v>
      </c>
      <c r="B132" s="249" t="s">
        <v>11</v>
      </c>
      <c r="C132" s="264" t="s">
        <v>89</v>
      </c>
      <c r="D132" s="250">
        <f>SUM(D133:D134)</f>
        <v>662105</v>
      </c>
      <c r="E132" s="250">
        <f>SUM(E133:E134)</f>
        <v>903118</v>
      </c>
    </row>
    <row r="133" spans="1:5" ht="25.5">
      <c r="A133" s="13" t="s">
        <v>232</v>
      </c>
      <c r="B133" s="249" t="s">
        <v>11</v>
      </c>
      <c r="C133" s="248" t="s">
        <v>76</v>
      </c>
      <c r="D133" s="247">
        <v>203125</v>
      </c>
      <c r="E133" s="247">
        <v>472278</v>
      </c>
    </row>
    <row r="134" spans="1:5" ht="12.75">
      <c r="A134" s="246" t="s">
        <v>79</v>
      </c>
      <c r="B134" s="245" t="s">
        <v>11</v>
      </c>
      <c r="C134" s="244">
        <v>800</v>
      </c>
      <c r="D134" s="243">
        <v>458980</v>
      </c>
      <c r="E134" s="243">
        <v>430840</v>
      </c>
    </row>
    <row r="135" spans="1:5" ht="63.75">
      <c r="A135" s="257" t="s">
        <v>483</v>
      </c>
      <c r="B135" s="335" t="s">
        <v>34</v>
      </c>
      <c r="C135" s="224"/>
      <c r="D135" s="223">
        <f>D136+D144</f>
        <v>7783809</v>
      </c>
      <c r="E135" s="223">
        <f>E136+E144</f>
        <v>4343734.84</v>
      </c>
    </row>
    <row r="136" spans="1:5" ht="102" hidden="1">
      <c r="A136" s="12" t="s">
        <v>219</v>
      </c>
      <c r="B136" s="249" t="s">
        <v>220</v>
      </c>
      <c r="C136" s="299"/>
      <c r="D136" s="250">
        <f>D137</f>
        <v>0</v>
      </c>
      <c r="E136" s="250">
        <f>E137</f>
        <v>0</v>
      </c>
    </row>
    <row r="137" spans="1:5" ht="38.25" hidden="1">
      <c r="A137" s="296" t="s">
        <v>754</v>
      </c>
      <c r="B137" s="249" t="s">
        <v>66</v>
      </c>
      <c r="C137" s="299"/>
      <c r="D137" s="250">
        <f>D138+D140+D142</f>
        <v>0</v>
      </c>
      <c r="E137" s="250">
        <f>E142</f>
        <v>0</v>
      </c>
    </row>
    <row r="138" spans="1:5" ht="38.25" hidden="1">
      <c r="A138" s="296" t="s">
        <v>94</v>
      </c>
      <c r="B138" s="249" t="s">
        <v>710</v>
      </c>
      <c r="C138" s="299"/>
      <c r="D138" s="250">
        <f>D139</f>
        <v>0</v>
      </c>
      <c r="E138" s="250"/>
    </row>
    <row r="139" spans="1:5" ht="25.5" hidden="1">
      <c r="A139" s="287" t="s">
        <v>225</v>
      </c>
      <c r="B139" s="249" t="s">
        <v>710</v>
      </c>
      <c r="C139" s="248">
        <v>400</v>
      </c>
      <c r="D139" s="250"/>
      <c r="E139" s="250"/>
    </row>
    <row r="140" spans="1:5" ht="38.25" hidden="1">
      <c r="A140" s="296" t="s">
        <v>95</v>
      </c>
      <c r="B140" s="249" t="s">
        <v>711</v>
      </c>
      <c r="C140" s="299"/>
      <c r="D140" s="250">
        <f>D141</f>
        <v>0</v>
      </c>
      <c r="E140" s="250"/>
    </row>
    <row r="141" spans="1:5" ht="25.5" hidden="1">
      <c r="A141" s="287" t="s">
        <v>225</v>
      </c>
      <c r="B141" s="249" t="s">
        <v>711</v>
      </c>
      <c r="C141" s="248">
        <v>400</v>
      </c>
      <c r="D141" s="250"/>
      <c r="E141" s="250"/>
    </row>
    <row r="142" spans="1:5" ht="76.5" hidden="1">
      <c r="A142" s="73" t="s">
        <v>69</v>
      </c>
      <c r="B142" s="249" t="s">
        <v>296</v>
      </c>
      <c r="C142" s="299"/>
      <c r="D142" s="250">
        <f>D143</f>
        <v>0</v>
      </c>
      <c r="E142" s="250">
        <f>E143</f>
        <v>0</v>
      </c>
    </row>
    <row r="143" spans="1:5" ht="25.5" hidden="1">
      <c r="A143" s="287" t="s">
        <v>225</v>
      </c>
      <c r="B143" s="249" t="s">
        <v>296</v>
      </c>
      <c r="C143" s="248">
        <v>400</v>
      </c>
      <c r="D143" s="247"/>
      <c r="E143" s="247"/>
    </row>
    <row r="144" spans="1:5" ht="89.25">
      <c r="A144" s="12" t="s">
        <v>484</v>
      </c>
      <c r="B144" s="252" t="s">
        <v>561</v>
      </c>
      <c r="C144" s="299"/>
      <c r="D144" s="250">
        <f>D145+D148</f>
        <v>7783809</v>
      </c>
      <c r="E144" s="250">
        <f>E145+E148</f>
        <v>4343734.84</v>
      </c>
    </row>
    <row r="145" spans="1:5" ht="38.25">
      <c r="A145" s="28" t="s">
        <v>238</v>
      </c>
      <c r="B145" s="249" t="s">
        <v>271</v>
      </c>
      <c r="C145" s="299"/>
      <c r="D145" s="250">
        <f>D146</f>
        <v>684000</v>
      </c>
      <c r="E145" s="250">
        <f>E146</f>
        <v>642063</v>
      </c>
    </row>
    <row r="146" spans="1:5" ht="24">
      <c r="A146" s="30" t="s">
        <v>270</v>
      </c>
      <c r="B146" s="249" t="s">
        <v>269</v>
      </c>
      <c r="C146" s="299"/>
      <c r="D146" s="250">
        <f>SUM(D147:D147)</f>
        <v>684000</v>
      </c>
      <c r="E146" s="250">
        <f>SUM(E147:E147)</f>
        <v>642063</v>
      </c>
    </row>
    <row r="147" spans="1:5" ht="25.5">
      <c r="A147" s="13" t="s">
        <v>232</v>
      </c>
      <c r="B147" s="249" t="s">
        <v>269</v>
      </c>
      <c r="C147" s="248">
        <v>200</v>
      </c>
      <c r="D147" s="247">
        <v>684000</v>
      </c>
      <c r="E147" s="247">
        <v>642063</v>
      </c>
    </row>
    <row r="148" spans="1:5" ht="38.25">
      <c r="A148" s="28" t="s">
        <v>357</v>
      </c>
      <c r="B148" s="249" t="s">
        <v>458</v>
      </c>
      <c r="C148" s="248"/>
      <c r="D148" s="250">
        <f>D149</f>
        <v>7099809</v>
      </c>
      <c r="E148" s="250">
        <f>E149</f>
        <v>3701671.84</v>
      </c>
    </row>
    <row r="149" spans="1:5" ht="12.75">
      <c r="A149" s="33" t="s">
        <v>737</v>
      </c>
      <c r="B149" s="249" t="s">
        <v>459</v>
      </c>
      <c r="C149" s="248" t="s">
        <v>89</v>
      </c>
      <c r="D149" s="250">
        <f>SUM(D150:D151)</f>
        <v>7099809</v>
      </c>
      <c r="E149" s="250">
        <f>SUM(E150:E151)</f>
        <v>3701671.84</v>
      </c>
    </row>
    <row r="150" spans="1:5" ht="25.5">
      <c r="A150" s="13" t="s">
        <v>232</v>
      </c>
      <c r="B150" s="249" t="s">
        <v>459</v>
      </c>
      <c r="C150" s="248">
        <v>200</v>
      </c>
      <c r="D150" s="247">
        <v>2467763</v>
      </c>
      <c r="E150" s="247">
        <v>2316462</v>
      </c>
    </row>
    <row r="151" spans="1:5" ht="12.75">
      <c r="A151" s="246" t="s">
        <v>79</v>
      </c>
      <c r="B151" s="245" t="s">
        <v>459</v>
      </c>
      <c r="C151" s="244">
        <v>800</v>
      </c>
      <c r="D151" s="243">
        <v>4632046</v>
      </c>
      <c r="E151" s="243">
        <v>1385209.84</v>
      </c>
    </row>
    <row r="152" spans="1:5" ht="63.75">
      <c r="A152" s="257" t="s">
        <v>442</v>
      </c>
      <c r="B152" s="335" t="s">
        <v>441</v>
      </c>
      <c r="C152" s="224" t="s">
        <v>89</v>
      </c>
      <c r="D152" s="223">
        <f>D153+D164</f>
        <v>1661036</v>
      </c>
      <c r="E152" s="223">
        <f>E153+E164</f>
        <v>1654476</v>
      </c>
    </row>
    <row r="153" spans="1:5" ht="89.25">
      <c r="A153" s="12" t="s">
        <v>356</v>
      </c>
      <c r="B153" s="252" t="s">
        <v>492</v>
      </c>
      <c r="C153" s="248" t="s">
        <v>89</v>
      </c>
      <c r="D153" s="250">
        <f>D154+D161</f>
        <v>1611036</v>
      </c>
      <c r="E153" s="250">
        <f>E154+E161</f>
        <v>1607541</v>
      </c>
    </row>
    <row r="154" spans="1:5" ht="25.5">
      <c r="A154" s="33" t="s">
        <v>491</v>
      </c>
      <c r="B154" s="249" t="s">
        <v>490</v>
      </c>
      <c r="C154" s="248"/>
      <c r="D154" s="250">
        <f>D155+D158</f>
        <v>1561036</v>
      </c>
      <c r="E154" s="250">
        <f>E155+E158</f>
        <v>1560607</v>
      </c>
    </row>
    <row r="155" spans="1:5" ht="12.75">
      <c r="A155" s="33" t="s">
        <v>489</v>
      </c>
      <c r="B155" s="249" t="s">
        <v>488</v>
      </c>
      <c r="C155" s="248"/>
      <c r="D155" s="250">
        <f>D156+D157</f>
        <v>7000</v>
      </c>
      <c r="E155" s="250">
        <f>E156+E157</f>
        <v>6571</v>
      </c>
    </row>
    <row r="156" spans="1:5" ht="25.5">
      <c r="A156" s="13" t="s">
        <v>232</v>
      </c>
      <c r="B156" s="249" t="s">
        <v>488</v>
      </c>
      <c r="C156" s="248">
        <v>200</v>
      </c>
      <c r="D156" s="250"/>
      <c r="E156" s="250"/>
    </row>
    <row r="157" spans="1:5" ht="38.25">
      <c r="A157" s="13" t="s">
        <v>92</v>
      </c>
      <c r="B157" s="249" t="s">
        <v>488</v>
      </c>
      <c r="C157" s="248">
        <v>600</v>
      </c>
      <c r="D157" s="247">
        <v>7000</v>
      </c>
      <c r="E157" s="247">
        <v>6571</v>
      </c>
    </row>
    <row r="158" spans="1:5" ht="25.5">
      <c r="A158" s="25" t="s">
        <v>499</v>
      </c>
      <c r="B158" s="249" t="s">
        <v>285</v>
      </c>
      <c r="C158" s="251"/>
      <c r="D158" s="250">
        <f>D159+D160</f>
        <v>1554036</v>
      </c>
      <c r="E158" s="250">
        <f>E159+E160</f>
        <v>1554036</v>
      </c>
    </row>
    <row r="159" spans="1:5" ht="25.5">
      <c r="A159" s="13" t="s">
        <v>83</v>
      </c>
      <c r="B159" s="249" t="s">
        <v>285</v>
      </c>
      <c r="C159" s="251">
        <v>300</v>
      </c>
      <c r="D159" s="250">
        <v>691391</v>
      </c>
      <c r="E159" s="250">
        <v>691391</v>
      </c>
    </row>
    <row r="160" spans="1:5" ht="38.25">
      <c r="A160" s="13" t="s">
        <v>92</v>
      </c>
      <c r="B160" s="249" t="s">
        <v>285</v>
      </c>
      <c r="C160" s="251">
        <v>600</v>
      </c>
      <c r="D160" s="247">
        <v>862645</v>
      </c>
      <c r="E160" s="247">
        <v>862645</v>
      </c>
    </row>
    <row r="161" spans="1:5" ht="51">
      <c r="A161" s="33" t="s">
        <v>757</v>
      </c>
      <c r="B161" s="249" t="s">
        <v>758</v>
      </c>
      <c r="C161" s="248"/>
      <c r="D161" s="250">
        <f>D162</f>
        <v>50000</v>
      </c>
      <c r="E161" s="250">
        <f>E162</f>
        <v>46934</v>
      </c>
    </row>
    <row r="162" spans="1:5" ht="25.5">
      <c r="A162" s="33" t="s">
        <v>760</v>
      </c>
      <c r="B162" s="249" t="s">
        <v>759</v>
      </c>
      <c r="C162" s="248"/>
      <c r="D162" s="250">
        <f>D163</f>
        <v>50000</v>
      </c>
      <c r="E162" s="250">
        <f>E163</f>
        <v>46934</v>
      </c>
    </row>
    <row r="163" spans="1:5" ht="25.5">
      <c r="A163" s="13" t="s">
        <v>232</v>
      </c>
      <c r="B163" s="249" t="s">
        <v>759</v>
      </c>
      <c r="C163" s="248">
        <v>200</v>
      </c>
      <c r="D163" s="247">
        <v>50000</v>
      </c>
      <c r="E163" s="247">
        <v>46934</v>
      </c>
    </row>
    <row r="164" spans="1:5" ht="76.5">
      <c r="A164" s="12" t="s">
        <v>440</v>
      </c>
      <c r="B164" s="249" t="s">
        <v>252</v>
      </c>
      <c r="C164" s="264" t="s">
        <v>89</v>
      </c>
      <c r="D164" s="250">
        <f aca="true" t="shared" si="2" ref="D164:E166">D165</f>
        <v>50000</v>
      </c>
      <c r="E164" s="250">
        <f t="shared" si="2"/>
        <v>46935</v>
      </c>
    </row>
    <row r="165" spans="1:5" ht="63.75">
      <c r="A165" s="33" t="s">
        <v>251</v>
      </c>
      <c r="B165" s="249" t="s">
        <v>250</v>
      </c>
      <c r="C165" s="264"/>
      <c r="D165" s="250">
        <f t="shared" si="2"/>
        <v>50000</v>
      </c>
      <c r="E165" s="250">
        <f t="shared" si="2"/>
        <v>46935</v>
      </c>
    </row>
    <row r="166" spans="1:5" ht="51">
      <c r="A166" s="33" t="s">
        <v>249</v>
      </c>
      <c r="B166" s="249" t="s">
        <v>248</v>
      </c>
      <c r="C166" s="264"/>
      <c r="D166" s="250">
        <f t="shared" si="2"/>
        <v>50000</v>
      </c>
      <c r="E166" s="250">
        <f t="shared" si="2"/>
        <v>46935</v>
      </c>
    </row>
    <row r="167" spans="1:5" ht="25.5">
      <c r="A167" s="246" t="s">
        <v>232</v>
      </c>
      <c r="B167" s="245" t="s">
        <v>248</v>
      </c>
      <c r="C167" s="244">
        <v>200</v>
      </c>
      <c r="D167" s="243">
        <v>50000</v>
      </c>
      <c r="E167" s="243">
        <v>46935</v>
      </c>
    </row>
    <row r="168" spans="1:5" ht="63.75">
      <c r="A168" s="257" t="s">
        <v>482</v>
      </c>
      <c r="B168" s="335" t="s">
        <v>31</v>
      </c>
      <c r="C168" s="336" t="s">
        <v>89</v>
      </c>
      <c r="D168" s="223">
        <f>D169+D179</f>
        <v>2927430</v>
      </c>
      <c r="E168" s="223">
        <f>E169+E179</f>
        <v>26654878.16</v>
      </c>
    </row>
    <row r="169" spans="1:5" ht="89.25">
      <c r="A169" s="12" t="s">
        <v>49</v>
      </c>
      <c r="B169" s="252" t="s">
        <v>237</v>
      </c>
      <c r="C169" s="264" t="s">
        <v>89</v>
      </c>
      <c r="D169" s="250">
        <f>D170+D173+D176</f>
        <v>2727158</v>
      </c>
      <c r="E169" s="250">
        <f>E170+E173+E176</f>
        <v>26654878.16</v>
      </c>
    </row>
    <row r="170" spans="1:5" ht="38.25">
      <c r="A170" s="29" t="s">
        <v>236</v>
      </c>
      <c r="B170" s="249" t="s">
        <v>235</v>
      </c>
      <c r="C170" s="264"/>
      <c r="D170" s="250">
        <f>D171</f>
        <v>299728</v>
      </c>
      <c r="E170" s="250">
        <f>E171</f>
        <v>0</v>
      </c>
    </row>
    <row r="171" spans="1:5" ht="38.25">
      <c r="A171" s="33" t="s">
        <v>33</v>
      </c>
      <c r="B171" s="249" t="s">
        <v>234</v>
      </c>
      <c r="C171" s="264"/>
      <c r="D171" s="250">
        <f>D172</f>
        <v>299728</v>
      </c>
      <c r="E171" s="250">
        <f>E172</f>
        <v>0</v>
      </c>
    </row>
    <row r="172" spans="1:5" ht="12.75">
      <c r="A172" s="13" t="s">
        <v>79</v>
      </c>
      <c r="B172" s="249" t="s">
        <v>234</v>
      </c>
      <c r="C172" s="248">
        <v>800</v>
      </c>
      <c r="D172" s="247">
        <v>299728</v>
      </c>
      <c r="E172" s="247">
        <v>0</v>
      </c>
    </row>
    <row r="173" spans="1:5" ht="38.25">
      <c r="A173" s="29" t="s">
        <v>233</v>
      </c>
      <c r="B173" s="249" t="s">
        <v>254</v>
      </c>
      <c r="C173" s="264"/>
      <c r="D173" s="250">
        <f>D174</f>
        <v>2427430</v>
      </c>
      <c r="E173" s="250">
        <f>E174</f>
        <v>26654878.16</v>
      </c>
    </row>
    <row r="174" spans="1:5" ht="38.25">
      <c r="A174" s="74" t="s">
        <v>633</v>
      </c>
      <c r="B174" s="72" t="s">
        <v>632</v>
      </c>
      <c r="C174" s="248" t="s">
        <v>89</v>
      </c>
      <c r="D174" s="250">
        <f>D175</f>
        <v>2427430</v>
      </c>
      <c r="E174" s="250">
        <f>E175</f>
        <v>26654878.16</v>
      </c>
    </row>
    <row r="175" spans="1:5" ht="25.5">
      <c r="A175" s="13" t="s">
        <v>232</v>
      </c>
      <c r="B175" s="72" t="s">
        <v>632</v>
      </c>
      <c r="C175" s="248">
        <v>200</v>
      </c>
      <c r="D175" s="247">
        <v>2427430</v>
      </c>
      <c r="E175" s="247">
        <v>26654878.16</v>
      </c>
    </row>
    <row r="176" spans="1:5" ht="51" hidden="1">
      <c r="A176" s="13" t="s">
        <v>67</v>
      </c>
      <c r="B176" s="249" t="s">
        <v>68</v>
      </c>
      <c r="C176" s="248"/>
      <c r="D176" s="250">
        <f>D177</f>
        <v>0</v>
      </c>
      <c r="E176" s="250">
        <f>E177</f>
        <v>0</v>
      </c>
    </row>
    <row r="177" spans="1:5" ht="24" hidden="1">
      <c r="A177" s="23" t="s">
        <v>749</v>
      </c>
      <c r="B177" s="249" t="s">
        <v>750</v>
      </c>
      <c r="C177" s="248"/>
      <c r="D177" s="250">
        <f>D178</f>
        <v>0</v>
      </c>
      <c r="E177" s="250">
        <f>E178</f>
        <v>0</v>
      </c>
    </row>
    <row r="178" spans="1:5" ht="25.5" hidden="1">
      <c r="A178" s="287" t="s">
        <v>225</v>
      </c>
      <c r="B178" s="249" t="s">
        <v>750</v>
      </c>
      <c r="C178" s="248">
        <v>400</v>
      </c>
      <c r="D178" s="247"/>
      <c r="E178" s="247"/>
    </row>
    <row r="179" spans="1:5" ht="89.25">
      <c r="A179" s="12" t="s">
        <v>264</v>
      </c>
      <c r="B179" s="252" t="s">
        <v>32</v>
      </c>
      <c r="C179" s="248"/>
      <c r="D179" s="250">
        <f aca="true" t="shared" si="3" ref="D179:E181">D180</f>
        <v>200272</v>
      </c>
      <c r="E179" s="250">
        <f t="shared" si="3"/>
        <v>0</v>
      </c>
    </row>
    <row r="180" spans="1:5" ht="76.5">
      <c r="A180" s="29" t="s">
        <v>101</v>
      </c>
      <c r="B180" s="249" t="s">
        <v>453</v>
      </c>
      <c r="C180" s="248"/>
      <c r="D180" s="250">
        <f t="shared" si="3"/>
        <v>200272</v>
      </c>
      <c r="E180" s="250">
        <f t="shared" si="3"/>
        <v>0</v>
      </c>
    </row>
    <row r="181" spans="1:5" ht="25.5">
      <c r="A181" s="33" t="s">
        <v>352</v>
      </c>
      <c r="B181" s="249" t="s">
        <v>351</v>
      </c>
      <c r="C181" s="248"/>
      <c r="D181" s="250">
        <f t="shared" si="3"/>
        <v>200272</v>
      </c>
      <c r="E181" s="250">
        <f t="shared" si="3"/>
        <v>0</v>
      </c>
    </row>
    <row r="182" spans="1:5" ht="12.75">
      <c r="A182" s="246" t="s">
        <v>79</v>
      </c>
      <c r="B182" s="245" t="s">
        <v>351</v>
      </c>
      <c r="C182" s="244">
        <v>800</v>
      </c>
      <c r="D182" s="243">
        <v>200272</v>
      </c>
      <c r="E182" s="243">
        <v>0</v>
      </c>
    </row>
    <row r="183" spans="1:5" ht="63.75">
      <c r="A183" s="257" t="s">
        <v>300</v>
      </c>
      <c r="B183" s="224" t="s">
        <v>12</v>
      </c>
      <c r="C183" s="224"/>
      <c r="D183" s="223">
        <f>D184</f>
        <v>384700</v>
      </c>
      <c r="E183" s="223">
        <f>E184</f>
        <v>381634</v>
      </c>
    </row>
    <row r="184" spans="1:5" ht="76.5">
      <c r="A184" s="12" t="s">
        <v>301</v>
      </c>
      <c r="B184" s="248" t="s">
        <v>13</v>
      </c>
      <c r="C184" s="248"/>
      <c r="D184" s="250">
        <f>D185+D188</f>
        <v>384700</v>
      </c>
      <c r="E184" s="250">
        <f>E185+E188</f>
        <v>381634</v>
      </c>
    </row>
    <row r="185" spans="1:5" ht="38.25">
      <c r="A185" s="78" t="s">
        <v>288</v>
      </c>
      <c r="B185" s="248" t="s">
        <v>112</v>
      </c>
      <c r="C185" s="248"/>
      <c r="D185" s="250">
        <f>D186</f>
        <v>50000</v>
      </c>
      <c r="E185" s="250">
        <f>E186</f>
        <v>46934</v>
      </c>
    </row>
    <row r="186" spans="1:5" ht="36">
      <c r="A186" s="23" t="s">
        <v>275</v>
      </c>
      <c r="B186" s="76" t="s">
        <v>289</v>
      </c>
      <c r="C186" s="76"/>
      <c r="D186" s="250">
        <f>D187</f>
        <v>50000</v>
      </c>
      <c r="E186" s="250">
        <f>E187</f>
        <v>46934</v>
      </c>
    </row>
    <row r="187" spans="1:5" ht="25.5">
      <c r="A187" s="78" t="s">
        <v>232</v>
      </c>
      <c r="B187" s="76" t="s">
        <v>289</v>
      </c>
      <c r="C187" s="76">
        <v>200</v>
      </c>
      <c r="D187" s="250">
        <v>50000</v>
      </c>
      <c r="E187" s="250">
        <v>46934</v>
      </c>
    </row>
    <row r="188" spans="1:5" ht="38.25">
      <c r="A188" s="13" t="s">
        <v>290</v>
      </c>
      <c r="B188" s="248" t="s">
        <v>279</v>
      </c>
      <c r="C188" s="248"/>
      <c r="D188" s="250">
        <f>D189</f>
        <v>334700</v>
      </c>
      <c r="E188" s="250">
        <f>E189</f>
        <v>334700</v>
      </c>
    </row>
    <row r="189" spans="1:5" ht="51">
      <c r="A189" s="13" t="s">
        <v>111</v>
      </c>
      <c r="B189" s="248" t="s">
        <v>291</v>
      </c>
      <c r="C189" s="248"/>
      <c r="D189" s="250">
        <f>SUM(D190:D191)</f>
        <v>334700</v>
      </c>
      <c r="E189" s="250">
        <f>SUM(E190:E191)</f>
        <v>334700</v>
      </c>
    </row>
    <row r="190" spans="1:5" ht="63.75">
      <c r="A190" s="13" t="s">
        <v>740</v>
      </c>
      <c r="B190" s="248" t="s">
        <v>291</v>
      </c>
      <c r="C190" s="248">
        <v>100</v>
      </c>
      <c r="D190" s="247">
        <v>334700</v>
      </c>
      <c r="E190" s="247">
        <v>334700</v>
      </c>
    </row>
    <row r="191" spans="1:5" ht="25.5">
      <c r="A191" s="246" t="s">
        <v>232</v>
      </c>
      <c r="B191" s="244" t="s">
        <v>291</v>
      </c>
      <c r="C191" s="244">
        <v>200</v>
      </c>
      <c r="D191" s="243"/>
      <c r="E191" s="243"/>
    </row>
    <row r="192" spans="1:5" ht="63.75">
      <c r="A192" s="257" t="s">
        <v>486</v>
      </c>
      <c r="B192" s="335" t="s">
        <v>20</v>
      </c>
      <c r="C192" s="224" t="s">
        <v>89</v>
      </c>
      <c r="D192" s="223">
        <f aca="true" t="shared" si="4" ref="D192:E194">D193</f>
        <v>2707710</v>
      </c>
      <c r="E192" s="223">
        <f t="shared" si="4"/>
        <v>2541699</v>
      </c>
    </row>
    <row r="193" spans="1:5" ht="89.25">
      <c r="A193" s="24" t="s">
        <v>298</v>
      </c>
      <c r="B193" s="249" t="s">
        <v>21</v>
      </c>
      <c r="C193" s="248"/>
      <c r="D193" s="250">
        <f t="shared" si="4"/>
        <v>2707710</v>
      </c>
      <c r="E193" s="250">
        <f t="shared" si="4"/>
        <v>2541699</v>
      </c>
    </row>
    <row r="194" spans="1:5" ht="76.5">
      <c r="A194" s="28" t="s">
        <v>263</v>
      </c>
      <c r="B194" s="249" t="s">
        <v>26</v>
      </c>
      <c r="C194" s="248"/>
      <c r="D194" s="250">
        <f t="shared" si="4"/>
        <v>2707710</v>
      </c>
      <c r="E194" s="250">
        <f t="shared" si="4"/>
        <v>2541699</v>
      </c>
    </row>
    <row r="195" spans="1:5" ht="25.5">
      <c r="A195" s="251" t="s">
        <v>498</v>
      </c>
      <c r="B195" s="249" t="s">
        <v>27</v>
      </c>
      <c r="C195" s="248" t="s">
        <v>89</v>
      </c>
      <c r="D195" s="250">
        <f>SUM(D196:D198)</f>
        <v>2707710</v>
      </c>
      <c r="E195" s="250">
        <f>SUM(E196:E198)</f>
        <v>2541699</v>
      </c>
    </row>
    <row r="196" spans="1:5" ht="63.75">
      <c r="A196" s="13" t="s">
        <v>740</v>
      </c>
      <c r="B196" s="249" t="s">
        <v>27</v>
      </c>
      <c r="C196" s="248" t="s">
        <v>597</v>
      </c>
      <c r="D196" s="247">
        <v>2562144</v>
      </c>
      <c r="E196" s="247">
        <v>2405057</v>
      </c>
    </row>
    <row r="197" spans="1:5" ht="25.5">
      <c r="A197" s="13" t="s">
        <v>232</v>
      </c>
      <c r="B197" s="249" t="s">
        <v>27</v>
      </c>
      <c r="C197" s="248" t="s">
        <v>76</v>
      </c>
      <c r="D197" s="247">
        <v>144366</v>
      </c>
      <c r="E197" s="247">
        <v>135515</v>
      </c>
    </row>
    <row r="198" spans="1:5" ht="12.75">
      <c r="A198" s="246" t="s">
        <v>79</v>
      </c>
      <c r="B198" s="245" t="s">
        <v>27</v>
      </c>
      <c r="C198" s="244" t="s">
        <v>80</v>
      </c>
      <c r="D198" s="243">
        <v>1200</v>
      </c>
      <c r="E198" s="243">
        <v>1127</v>
      </c>
    </row>
    <row r="199" spans="1:5" ht="25.5">
      <c r="A199" s="257" t="s">
        <v>175</v>
      </c>
      <c r="B199" s="335" t="s">
        <v>698</v>
      </c>
      <c r="C199" s="336" t="s">
        <v>89</v>
      </c>
      <c r="D199" s="223">
        <f>D200+D204</f>
        <v>4276347</v>
      </c>
      <c r="E199" s="223">
        <f>E200+E204</f>
        <v>4014161</v>
      </c>
    </row>
    <row r="200" spans="1:5" ht="51">
      <c r="A200" s="12" t="s">
        <v>395</v>
      </c>
      <c r="B200" s="249" t="s">
        <v>121</v>
      </c>
      <c r="C200" s="264" t="s">
        <v>89</v>
      </c>
      <c r="D200" s="250">
        <f aca="true" t="shared" si="5" ref="D200:E202">D201</f>
        <v>55000</v>
      </c>
      <c r="E200" s="250">
        <f t="shared" si="5"/>
        <v>51628</v>
      </c>
    </row>
    <row r="201" spans="1:5" ht="51">
      <c r="A201" s="28" t="s">
        <v>120</v>
      </c>
      <c r="B201" s="249" t="s">
        <v>122</v>
      </c>
      <c r="C201" s="264"/>
      <c r="D201" s="250">
        <f t="shared" si="5"/>
        <v>55000</v>
      </c>
      <c r="E201" s="250">
        <f t="shared" si="5"/>
        <v>51628</v>
      </c>
    </row>
    <row r="202" spans="1:5" ht="12.75">
      <c r="A202" s="33" t="s">
        <v>123</v>
      </c>
      <c r="B202" s="249" t="s">
        <v>124</v>
      </c>
      <c r="C202" s="264" t="s">
        <v>89</v>
      </c>
      <c r="D202" s="250">
        <f t="shared" si="5"/>
        <v>55000</v>
      </c>
      <c r="E202" s="250">
        <f t="shared" si="5"/>
        <v>51628</v>
      </c>
    </row>
    <row r="203" spans="1:5" ht="25.5">
      <c r="A203" s="13" t="s">
        <v>497</v>
      </c>
      <c r="B203" s="249" t="s">
        <v>124</v>
      </c>
      <c r="C203" s="248" t="s">
        <v>84</v>
      </c>
      <c r="D203" s="247">
        <v>55000</v>
      </c>
      <c r="E203" s="247">
        <v>51628</v>
      </c>
    </row>
    <row r="204" spans="1:5" ht="51">
      <c r="A204" s="12" t="s">
        <v>177</v>
      </c>
      <c r="B204" s="248" t="s">
        <v>699</v>
      </c>
      <c r="C204" s="248" t="s">
        <v>89</v>
      </c>
      <c r="D204" s="250">
        <f>D205</f>
        <v>4221347</v>
      </c>
      <c r="E204" s="250">
        <f>E205</f>
        <v>3962533</v>
      </c>
    </row>
    <row r="205" spans="1:5" ht="51">
      <c r="A205" s="28" t="s">
        <v>599</v>
      </c>
      <c r="B205" s="248" t="s">
        <v>316</v>
      </c>
      <c r="C205" s="248"/>
      <c r="D205" s="250">
        <f>D206</f>
        <v>4221347</v>
      </c>
      <c r="E205" s="250">
        <f>E206</f>
        <v>3962533</v>
      </c>
    </row>
    <row r="206" spans="1:5" ht="25.5">
      <c r="A206" s="251" t="s">
        <v>736</v>
      </c>
      <c r="B206" s="248" t="s">
        <v>700</v>
      </c>
      <c r="C206" s="248" t="s">
        <v>89</v>
      </c>
      <c r="D206" s="250">
        <f>SUM(D207:D209)</f>
        <v>4221347</v>
      </c>
      <c r="E206" s="250">
        <f>SUM(E207:E209)</f>
        <v>3962533</v>
      </c>
    </row>
    <row r="207" spans="1:5" ht="63.75">
      <c r="A207" s="13" t="s">
        <v>740</v>
      </c>
      <c r="B207" s="248" t="s">
        <v>700</v>
      </c>
      <c r="C207" s="248">
        <v>100</v>
      </c>
      <c r="D207" s="247">
        <v>4151448</v>
      </c>
      <c r="E207" s="247">
        <v>3896920</v>
      </c>
    </row>
    <row r="208" spans="1:5" ht="25.5">
      <c r="A208" s="13" t="s">
        <v>232</v>
      </c>
      <c r="B208" s="248" t="s">
        <v>700</v>
      </c>
      <c r="C208" s="248" t="s">
        <v>76</v>
      </c>
      <c r="D208" s="247">
        <v>69899</v>
      </c>
      <c r="E208" s="247">
        <v>65613</v>
      </c>
    </row>
    <row r="209" spans="1:5" ht="12.75">
      <c r="A209" s="246" t="s">
        <v>79</v>
      </c>
      <c r="B209" s="244" t="s">
        <v>700</v>
      </c>
      <c r="C209" s="244">
        <v>800</v>
      </c>
      <c r="D209" s="243"/>
      <c r="E209" s="243"/>
    </row>
    <row r="210" spans="1:5" ht="38.25">
      <c r="A210" s="257" t="s">
        <v>50</v>
      </c>
      <c r="B210" s="255" t="s">
        <v>635</v>
      </c>
      <c r="C210" s="348"/>
      <c r="D210" s="253">
        <f aca="true" t="shared" si="6" ref="D210:E212">D211</f>
        <v>20000</v>
      </c>
      <c r="E210" s="253">
        <f t="shared" si="6"/>
        <v>18774</v>
      </c>
    </row>
    <row r="211" spans="1:5" ht="24">
      <c r="A211" s="23" t="s">
        <v>638</v>
      </c>
      <c r="B211" s="249" t="s">
        <v>637</v>
      </c>
      <c r="C211" s="295"/>
      <c r="D211" s="250">
        <f t="shared" si="6"/>
        <v>20000</v>
      </c>
      <c r="E211" s="250">
        <f t="shared" si="6"/>
        <v>18774</v>
      </c>
    </row>
    <row r="212" spans="1:5" ht="38.25">
      <c r="A212" s="20" t="s">
        <v>636</v>
      </c>
      <c r="B212" s="249" t="s">
        <v>100</v>
      </c>
      <c r="C212" s="295"/>
      <c r="D212" s="250">
        <f t="shared" si="6"/>
        <v>20000</v>
      </c>
      <c r="E212" s="250">
        <f t="shared" si="6"/>
        <v>18774</v>
      </c>
    </row>
    <row r="213" spans="1:5" ht="12.75">
      <c r="A213" s="347" t="s">
        <v>79</v>
      </c>
      <c r="B213" s="245" t="s">
        <v>100</v>
      </c>
      <c r="C213" s="346">
        <v>800</v>
      </c>
      <c r="D213" s="243">
        <v>20000</v>
      </c>
      <c r="E213" s="243">
        <v>18774</v>
      </c>
    </row>
    <row r="214" spans="1:5" ht="38.25">
      <c r="A214" s="257" t="s">
        <v>707</v>
      </c>
      <c r="B214" s="335" t="s">
        <v>22</v>
      </c>
      <c r="C214" s="224" t="s">
        <v>89</v>
      </c>
      <c r="D214" s="223">
        <f>D215+D219</f>
        <v>428121</v>
      </c>
      <c r="E214" s="223">
        <f>E215+E219</f>
        <v>422394</v>
      </c>
    </row>
    <row r="215" spans="1:5" ht="63.75">
      <c r="A215" s="12" t="s">
        <v>589</v>
      </c>
      <c r="B215" s="249" t="s">
        <v>23</v>
      </c>
      <c r="C215" s="248"/>
      <c r="D215" s="250">
        <f aca="true" t="shared" si="7" ref="D215:E217">D216</f>
        <v>93421</v>
      </c>
      <c r="E215" s="250">
        <f t="shared" si="7"/>
        <v>87694</v>
      </c>
    </row>
    <row r="216" spans="1:5" ht="51">
      <c r="A216" s="29" t="s">
        <v>519</v>
      </c>
      <c r="B216" s="249" t="s">
        <v>24</v>
      </c>
      <c r="C216" s="248"/>
      <c r="D216" s="250">
        <f t="shared" si="7"/>
        <v>93421</v>
      </c>
      <c r="E216" s="250">
        <f t="shared" si="7"/>
        <v>87694</v>
      </c>
    </row>
    <row r="217" spans="1:5" ht="25.5">
      <c r="A217" s="13" t="s">
        <v>706</v>
      </c>
      <c r="B217" s="249" t="s">
        <v>25</v>
      </c>
      <c r="C217" s="248"/>
      <c r="D217" s="250">
        <f t="shared" si="7"/>
        <v>93421</v>
      </c>
      <c r="E217" s="250">
        <f t="shared" si="7"/>
        <v>87694</v>
      </c>
    </row>
    <row r="218" spans="1:5" ht="38.25">
      <c r="A218" s="13" t="s">
        <v>92</v>
      </c>
      <c r="B218" s="249" t="s">
        <v>25</v>
      </c>
      <c r="C218" s="248">
        <v>600</v>
      </c>
      <c r="D218" s="247">
        <v>93421</v>
      </c>
      <c r="E218" s="247">
        <v>87694</v>
      </c>
    </row>
    <row r="219" spans="1:5" ht="51">
      <c r="A219" s="12" t="s">
        <v>590</v>
      </c>
      <c r="B219" s="249" t="s">
        <v>28</v>
      </c>
      <c r="C219" s="248"/>
      <c r="D219" s="250">
        <f>D220</f>
        <v>334700</v>
      </c>
      <c r="E219" s="250">
        <f>E220</f>
        <v>334700</v>
      </c>
    </row>
    <row r="220" spans="1:5" ht="51">
      <c r="A220" s="28" t="s">
        <v>457</v>
      </c>
      <c r="B220" s="249" t="s">
        <v>29</v>
      </c>
      <c r="C220" s="248"/>
      <c r="D220" s="250">
        <f>D221</f>
        <v>334700</v>
      </c>
      <c r="E220" s="250">
        <f>E221</f>
        <v>334700</v>
      </c>
    </row>
    <row r="221" spans="1:5" ht="25.5">
      <c r="A221" s="251" t="s">
        <v>474</v>
      </c>
      <c r="B221" s="249" t="s">
        <v>30</v>
      </c>
      <c r="C221" s="264" t="s">
        <v>89</v>
      </c>
      <c r="D221" s="250">
        <f>SUM(D222:D223)</f>
        <v>334700</v>
      </c>
      <c r="E221" s="250">
        <f>SUM(E222:E223)</f>
        <v>334700</v>
      </c>
    </row>
    <row r="222" spans="1:5" ht="63.75">
      <c r="A222" s="28" t="s">
        <v>740</v>
      </c>
      <c r="B222" s="249" t="s">
        <v>30</v>
      </c>
      <c r="C222" s="248">
        <v>100</v>
      </c>
      <c r="D222" s="247">
        <v>331700</v>
      </c>
      <c r="E222" s="247">
        <v>331700</v>
      </c>
    </row>
    <row r="223" spans="1:5" ht="25.5">
      <c r="A223" s="28" t="s">
        <v>232</v>
      </c>
      <c r="B223" s="249" t="s">
        <v>30</v>
      </c>
      <c r="C223" s="248">
        <v>200</v>
      </c>
      <c r="D223" s="247">
        <v>3000</v>
      </c>
      <c r="E223" s="247">
        <v>3000</v>
      </c>
    </row>
    <row r="224" spans="1:5" ht="51">
      <c r="A224" s="257" t="s">
        <v>481</v>
      </c>
      <c r="B224" s="335" t="s">
        <v>643</v>
      </c>
      <c r="C224" s="224"/>
      <c r="D224" s="223">
        <f aca="true" t="shared" si="8" ref="D224:E226">D225</f>
        <v>500000</v>
      </c>
      <c r="E224" s="223">
        <f t="shared" si="8"/>
        <v>500000</v>
      </c>
    </row>
    <row r="225" spans="1:5" ht="25.5">
      <c r="A225" s="26" t="s">
        <v>714</v>
      </c>
      <c r="B225" s="249" t="s">
        <v>340</v>
      </c>
      <c r="C225" s="248"/>
      <c r="D225" s="250">
        <f t="shared" si="8"/>
        <v>500000</v>
      </c>
      <c r="E225" s="250">
        <f t="shared" si="8"/>
        <v>500000</v>
      </c>
    </row>
    <row r="226" spans="1:5" ht="25.5">
      <c r="A226" s="70" t="s">
        <v>342</v>
      </c>
      <c r="B226" s="249" t="s">
        <v>341</v>
      </c>
      <c r="C226" s="248"/>
      <c r="D226" s="250">
        <f t="shared" si="8"/>
        <v>500000</v>
      </c>
      <c r="E226" s="250">
        <f t="shared" si="8"/>
        <v>500000</v>
      </c>
    </row>
    <row r="227" spans="1:5" ht="25.5">
      <c r="A227" s="246" t="s">
        <v>232</v>
      </c>
      <c r="B227" s="245" t="s">
        <v>341</v>
      </c>
      <c r="C227" s="244">
        <v>200</v>
      </c>
      <c r="D227" s="243">
        <v>500000</v>
      </c>
      <c r="E227" s="243">
        <v>500000</v>
      </c>
    </row>
    <row r="228" spans="1:5" ht="51">
      <c r="A228" s="413" t="s">
        <v>718</v>
      </c>
      <c r="B228" s="224" t="s">
        <v>113</v>
      </c>
      <c r="C228" s="224"/>
      <c r="D228" s="270">
        <f aca="true" t="shared" si="9" ref="D228:E231">D229</f>
        <v>30000</v>
      </c>
      <c r="E228" s="270">
        <f t="shared" si="9"/>
        <v>28161</v>
      </c>
    </row>
    <row r="229" spans="1:5" ht="76.5">
      <c r="A229" s="117" t="s">
        <v>719</v>
      </c>
      <c r="B229" s="248" t="s">
        <v>114</v>
      </c>
      <c r="C229" s="248"/>
      <c r="D229" s="250">
        <f t="shared" si="9"/>
        <v>30000</v>
      </c>
      <c r="E229" s="250">
        <f t="shared" si="9"/>
        <v>28161</v>
      </c>
    </row>
    <row r="230" spans="1:5" ht="38.25">
      <c r="A230" s="13" t="s">
        <v>115</v>
      </c>
      <c r="B230" s="248" t="s">
        <v>116</v>
      </c>
      <c r="C230" s="248"/>
      <c r="D230" s="250">
        <f t="shared" si="9"/>
        <v>30000</v>
      </c>
      <c r="E230" s="250">
        <f t="shared" si="9"/>
        <v>28161</v>
      </c>
    </row>
    <row r="231" spans="1:5" ht="38.25">
      <c r="A231" s="13" t="s">
        <v>118</v>
      </c>
      <c r="B231" s="248" t="s">
        <v>117</v>
      </c>
      <c r="C231" s="248"/>
      <c r="D231" s="250">
        <f t="shared" si="9"/>
        <v>30000</v>
      </c>
      <c r="E231" s="250">
        <f t="shared" si="9"/>
        <v>28161</v>
      </c>
    </row>
    <row r="232" spans="1:5" ht="25.5">
      <c r="A232" s="246" t="s">
        <v>232</v>
      </c>
      <c r="B232" s="244" t="s">
        <v>117</v>
      </c>
      <c r="C232" s="244">
        <v>200</v>
      </c>
      <c r="D232" s="243">
        <v>30000</v>
      </c>
      <c r="E232" s="243">
        <v>28161</v>
      </c>
    </row>
    <row r="233" spans="1:5" ht="25.5">
      <c r="A233" s="257" t="s">
        <v>588</v>
      </c>
      <c r="B233" s="224" t="s">
        <v>691</v>
      </c>
      <c r="C233" s="224" t="s">
        <v>89</v>
      </c>
      <c r="D233" s="223">
        <f aca="true" t="shared" si="10" ref="D233:E235">D234</f>
        <v>1366926</v>
      </c>
      <c r="E233" s="223">
        <f t="shared" si="10"/>
        <v>1283191</v>
      </c>
    </row>
    <row r="234" spans="1:5" ht="12.75">
      <c r="A234" s="13" t="s">
        <v>361</v>
      </c>
      <c r="B234" s="248" t="s">
        <v>692</v>
      </c>
      <c r="C234" s="248" t="s">
        <v>89</v>
      </c>
      <c r="D234" s="250">
        <f t="shared" si="10"/>
        <v>1366926</v>
      </c>
      <c r="E234" s="250">
        <f t="shared" si="10"/>
        <v>1283191</v>
      </c>
    </row>
    <row r="235" spans="1:5" ht="25.5">
      <c r="A235" s="251" t="s">
        <v>736</v>
      </c>
      <c r="B235" s="248" t="s">
        <v>693</v>
      </c>
      <c r="C235" s="248" t="s">
        <v>89</v>
      </c>
      <c r="D235" s="250">
        <f t="shared" si="10"/>
        <v>1366926</v>
      </c>
      <c r="E235" s="250">
        <f t="shared" si="10"/>
        <v>1283191</v>
      </c>
    </row>
    <row r="236" spans="1:5" ht="63.75">
      <c r="A236" s="246" t="s">
        <v>740</v>
      </c>
      <c r="B236" s="244" t="s">
        <v>693</v>
      </c>
      <c r="C236" s="244" t="s">
        <v>597</v>
      </c>
      <c r="D236" s="243">
        <v>1366926</v>
      </c>
      <c r="E236" s="243">
        <v>1283191</v>
      </c>
    </row>
    <row r="237" spans="1:5" ht="25.5">
      <c r="A237" s="257" t="s">
        <v>473</v>
      </c>
      <c r="B237" s="224" t="s">
        <v>694</v>
      </c>
      <c r="C237" s="224" t="s">
        <v>89</v>
      </c>
      <c r="D237" s="223">
        <f>D238</f>
        <v>12906450</v>
      </c>
      <c r="E237" s="223">
        <f>E238</f>
        <v>12135595</v>
      </c>
    </row>
    <row r="238" spans="1:5" ht="25.5">
      <c r="A238" s="13" t="s">
        <v>477</v>
      </c>
      <c r="B238" s="248" t="s">
        <v>695</v>
      </c>
      <c r="C238" s="248" t="s">
        <v>89</v>
      </c>
      <c r="D238" s="250">
        <f>D239+D242</f>
        <v>12906450</v>
      </c>
      <c r="E238" s="250">
        <f>E239+E242</f>
        <v>12135595</v>
      </c>
    </row>
    <row r="239" spans="1:5" ht="38.25">
      <c r="A239" s="13" t="s">
        <v>297</v>
      </c>
      <c r="B239" s="248" t="s">
        <v>696</v>
      </c>
      <c r="C239" s="248"/>
      <c r="D239" s="250">
        <f>SUM(D240:D241)</f>
        <v>334700</v>
      </c>
      <c r="E239" s="250">
        <f>SUM(E240:E241)</f>
        <v>334700</v>
      </c>
    </row>
    <row r="240" spans="1:5" ht="63.75">
      <c r="A240" s="13" t="s">
        <v>740</v>
      </c>
      <c r="B240" s="248" t="s">
        <v>696</v>
      </c>
      <c r="C240" s="248">
        <v>100</v>
      </c>
      <c r="D240" s="247">
        <v>300582</v>
      </c>
      <c r="E240" s="247">
        <v>300582</v>
      </c>
    </row>
    <row r="241" spans="1:5" ht="25.5">
      <c r="A241" s="13" t="s">
        <v>232</v>
      </c>
      <c r="B241" s="248" t="s">
        <v>696</v>
      </c>
      <c r="C241" s="248">
        <v>200</v>
      </c>
      <c r="D241" s="247">
        <v>34118</v>
      </c>
      <c r="E241" s="247">
        <v>34118</v>
      </c>
    </row>
    <row r="242" spans="1:5" ht="25.5">
      <c r="A242" s="251" t="s">
        <v>736</v>
      </c>
      <c r="B242" s="248" t="s">
        <v>697</v>
      </c>
      <c r="C242" s="248" t="s">
        <v>89</v>
      </c>
      <c r="D242" s="250">
        <f>SUM(D243:D245)</f>
        <v>12571750</v>
      </c>
      <c r="E242" s="250">
        <f>SUM(E243:E245)</f>
        <v>11800895</v>
      </c>
    </row>
    <row r="243" spans="1:5" ht="63.75">
      <c r="A243" s="13" t="s">
        <v>740</v>
      </c>
      <c r="B243" s="248" t="s">
        <v>697</v>
      </c>
      <c r="C243" s="248">
        <v>100</v>
      </c>
      <c r="D243" s="247">
        <v>11857799</v>
      </c>
      <c r="E243" s="247">
        <v>11130717</v>
      </c>
    </row>
    <row r="244" spans="1:5" ht="25.5">
      <c r="A244" s="13" t="s">
        <v>232</v>
      </c>
      <c r="B244" s="248" t="s">
        <v>697</v>
      </c>
      <c r="C244" s="248">
        <v>200</v>
      </c>
      <c r="D244" s="247">
        <v>590765</v>
      </c>
      <c r="E244" s="247">
        <v>554545</v>
      </c>
    </row>
    <row r="245" spans="1:5" ht="12.75">
      <c r="A245" s="246" t="s">
        <v>79</v>
      </c>
      <c r="B245" s="244" t="s">
        <v>697</v>
      </c>
      <c r="C245" s="244">
        <v>800</v>
      </c>
      <c r="D245" s="243">
        <v>123186</v>
      </c>
      <c r="E245" s="243">
        <v>115633</v>
      </c>
    </row>
    <row r="246" spans="1:5" ht="38.25">
      <c r="A246" s="257" t="s">
        <v>173</v>
      </c>
      <c r="B246" s="335" t="s">
        <v>701</v>
      </c>
      <c r="C246" s="224" t="s">
        <v>89</v>
      </c>
      <c r="D246" s="223">
        <f>D247+D250</f>
        <v>1025105</v>
      </c>
      <c r="E246" s="223">
        <f>E247+E250</f>
        <v>962255</v>
      </c>
    </row>
    <row r="247" spans="1:5" ht="25.5">
      <c r="A247" s="12" t="s">
        <v>174</v>
      </c>
      <c r="B247" s="252" t="s">
        <v>702</v>
      </c>
      <c r="C247" s="248" t="s">
        <v>89</v>
      </c>
      <c r="D247" s="250">
        <f>D248</f>
        <v>664065</v>
      </c>
      <c r="E247" s="250">
        <f>E248</f>
        <v>623557</v>
      </c>
    </row>
    <row r="248" spans="1:5" ht="25.5">
      <c r="A248" s="251" t="s">
        <v>736</v>
      </c>
      <c r="B248" s="249" t="s">
        <v>703</v>
      </c>
      <c r="C248" s="248"/>
      <c r="D248" s="250">
        <f>SUM(D249:D249)</f>
        <v>664065</v>
      </c>
      <c r="E248" s="250">
        <f>SUM(E249:E249)</f>
        <v>623557</v>
      </c>
    </row>
    <row r="249" spans="1:5" ht="63.75">
      <c r="A249" s="13" t="s">
        <v>740</v>
      </c>
      <c r="B249" s="249" t="s">
        <v>703</v>
      </c>
      <c r="C249" s="248">
        <v>100</v>
      </c>
      <c r="D249" s="250">
        <v>664065</v>
      </c>
      <c r="E249" s="250">
        <v>623557</v>
      </c>
    </row>
    <row r="250" spans="1:5" ht="25.5">
      <c r="A250" s="13" t="s">
        <v>42</v>
      </c>
      <c r="B250" s="252" t="s">
        <v>41</v>
      </c>
      <c r="C250" s="248"/>
      <c r="D250" s="250">
        <f>D251</f>
        <v>361040</v>
      </c>
      <c r="E250" s="250">
        <f>E251</f>
        <v>338698</v>
      </c>
    </row>
    <row r="251" spans="1:5" ht="25.5">
      <c r="A251" s="251" t="s">
        <v>736</v>
      </c>
      <c r="B251" s="249" t="s">
        <v>40</v>
      </c>
      <c r="C251" s="248"/>
      <c r="D251" s="250">
        <f>SUM(D252:D253)</f>
        <v>361040</v>
      </c>
      <c r="E251" s="250">
        <f>SUM(E252:E253)</f>
        <v>338698</v>
      </c>
    </row>
    <row r="252" spans="1:5" ht="63.75">
      <c r="A252" s="13" t="s">
        <v>740</v>
      </c>
      <c r="B252" s="249" t="s">
        <v>40</v>
      </c>
      <c r="C252" s="248">
        <v>100</v>
      </c>
      <c r="D252" s="247">
        <v>361040</v>
      </c>
      <c r="E252" s="247">
        <v>338698</v>
      </c>
    </row>
    <row r="253" spans="1:5" ht="25.5">
      <c r="A253" s="246" t="s">
        <v>232</v>
      </c>
      <c r="B253" s="245" t="s">
        <v>40</v>
      </c>
      <c r="C253" s="244">
        <v>200</v>
      </c>
      <c r="D253" s="243"/>
      <c r="E253" s="243"/>
    </row>
    <row r="254" spans="1:5" ht="38.25">
      <c r="A254" s="257" t="s">
        <v>525</v>
      </c>
      <c r="B254" s="335" t="s">
        <v>524</v>
      </c>
      <c r="C254" s="336" t="s">
        <v>89</v>
      </c>
      <c r="D254" s="223">
        <f>D255</f>
        <v>76100</v>
      </c>
      <c r="E254" s="223">
        <f>E255</f>
        <v>71434</v>
      </c>
    </row>
    <row r="255" spans="1:5" ht="12.75">
      <c r="A255" s="13" t="s">
        <v>523</v>
      </c>
      <c r="B255" s="249" t="s">
        <v>522</v>
      </c>
      <c r="C255" s="264"/>
      <c r="D255" s="250">
        <f>D256+D258</f>
        <v>76100</v>
      </c>
      <c r="E255" s="250">
        <f>E256+E258</f>
        <v>71434</v>
      </c>
    </row>
    <row r="256" spans="1:5" ht="25.5">
      <c r="A256" s="251" t="s">
        <v>38</v>
      </c>
      <c r="B256" s="249" t="s">
        <v>721</v>
      </c>
      <c r="C256" s="248"/>
      <c r="D256" s="250">
        <f>D257</f>
        <v>59900</v>
      </c>
      <c r="E256" s="250">
        <f>E257</f>
        <v>56227</v>
      </c>
    </row>
    <row r="257" spans="1:5" ht="12.75">
      <c r="A257" s="13" t="s">
        <v>79</v>
      </c>
      <c r="B257" s="249" t="s">
        <v>721</v>
      </c>
      <c r="C257" s="248">
        <v>800</v>
      </c>
      <c r="D257" s="250">
        <v>59900</v>
      </c>
      <c r="E257" s="250">
        <v>56227</v>
      </c>
    </row>
    <row r="258" spans="1:5" ht="25.5">
      <c r="A258" s="33" t="s">
        <v>521</v>
      </c>
      <c r="B258" s="249" t="s">
        <v>520</v>
      </c>
      <c r="C258" s="264" t="s">
        <v>89</v>
      </c>
      <c r="D258" s="250">
        <f>D259</f>
        <v>16200</v>
      </c>
      <c r="E258" s="250">
        <f>E259</f>
        <v>15207</v>
      </c>
    </row>
    <row r="259" spans="1:5" ht="25.5">
      <c r="A259" s="246" t="s">
        <v>93</v>
      </c>
      <c r="B259" s="245" t="s">
        <v>520</v>
      </c>
      <c r="C259" s="244">
        <v>200</v>
      </c>
      <c r="D259" s="243">
        <v>16200</v>
      </c>
      <c r="E259" s="243">
        <v>15207</v>
      </c>
    </row>
    <row r="260" spans="1:5" ht="25.5">
      <c r="A260" s="257" t="s">
        <v>631</v>
      </c>
      <c r="B260" s="335" t="s">
        <v>14</v>
      </c>
      <c r="C260" s="224"/>
      <c r="D260" s="223">
        <f>D261</f>
        <v>25192427</v>
      </c>
      <c r="E260" s="223">
        <f>E261</f>
        <v>22926219</v>
      </c>
    </row>
    <row r="261" spans="1:5" ht="25.5">
      <c r="A261" s="12" t="s">
        <v>641</v>
      </c>
      <c r="B261" s="252" t="s">
        <v>16</v>
      </c>
      <c r="C261" s="248"/>
      <c r="D261" s="250">
        <f>D262+D264+D267+D271+D279+D273+D275+D277</f>
        <v>25192427</v>
      </c>
      <c r="E261" s="250">
        <f>E262+E264+E267+E271+E279+E273+E275+E277</f>
        <v>22926219</v>
      </c>
    </row>
    <row r="262" spans="1:5" ht="38.25">
      <c r="A262" s="27" t="s">
        <v>773</v>
      </c>
      <c r="B262" s="249" t="s">
        <v>47</v>
      </c>
      <c r="C262" s="248"/>
      <c r="D262" s="250">
        <f>D263</f>
        <v>1084220</v>
      </c>
      <c r="E262" s="250">
        <f>E263</f>
        <v>1084220</v>
      </c>
    </row>
    <row r="263" spans="1:5" ht="25.5">
      <c r="A263" s="13" t="s">
        <v>93</v>
      </c>
      <c r="B263" s="249" t="s">
        <v>47</v>
      </c>
      <c r="C263" s="248">
        <v>200</v>
      </c>
      <c r="D263" s="247">
        <v>1084220</v>
      </c>
      <c r="E263" s="247">
        <v>1084220</v>
      </c>
    </row>
    <row r="264" spans="1:5" ht="63.75">
      <c r="A264" s="27" t="s">
        <v>772</v>
      </c>
      <c r="B264" s="249" t="s">
        <v>48</v>
      </c>
      <c r="C264" s="249"/>
      <c r="D264" s="250">
        <f>D265+D266</f>
        <v>167350</v>
      </c>
      <c r="E264" s="250">
        <f>E265+E266</f>
        <v>167350</v>
      </c>
    </row>
    <row r="265" spans="1:5" ht="63.75">
      <c r="A265" s="13" t="s">
        <v>740</v>
      </c>
      <c r="B265" s="249" t="s">
        <v>48</v>
      </c>
      <c r="C265" s="249">
        <v>100</v>
      </c>
      <c r="D265" s="247">
        <v>124992</v>
      </c>
      <c r="E265" s="247">
        <v>124992</v>
      </c>
    </row>
    <row r="266" spans="1:5" ht="25.5">
      <c r="A266" s="13" t="s">
        <v>93</v>
      </c>
      <c r="B266" s="249" t="s">
        <v>48</v>
      </c>
      <c r="C266" s="249">
        <v>200</v>
      </c>
      <c r="D266" s="247">
        <v>42358</v>
      </c>
      <c r="E266" s="247">
        <v>42358</v>
      </c>
    </row>
    <row r="267" spans="1:5" ht="25.5">
      <c r="A267" s="251" t="s">
        <v>498</v>
      </c>
      <c r="B267" s="249" t="s">
        <v>18</v>
      </c>
      <c r="C267" s="264" t="s">
        <v>89</v>
      </c>
      <c r="D267" s="250">
        <f>SUM(D268:D270)</f>
        <v>22740334</v>
      </c>
      <c r="E267" s="250">
        <f>SUM(E268:E270)</f>
        <v>21346108</v>
      </c>
    </row>
    <row r="268" spans="1:5" ht="63.75">
      <c r="A268" s="13" t="s">
        <v>740</v>
      </c>
      <c r="B268" s="249" t="s">
        <v>18</v>
      </c>
      <c r="C268" s="248" t="s">
        <v>597</v>
      </c>
      <c r="D268" s="247">
        <v>21759087</v>
      </c>
      <c r="E268" s="247">
        <v>20425022</v>
      </c>
    </row>
    <row r="269" spans="1:5" ht="25.5">
      <c r="A269" s="13" t="s">
        <v>232</v>
      </c>
      <c r="B269" s="249" t="s">
        <v>18</v>
      </c>
      <c r="C269" s="248" t="s">
        <v>76</v>
      </c>
      <c r="D269" s="247">
        <v>934400</v>
      </c>
      <c r="E269" s="247">
        <v>877111</v>
      </c>
    </row>
    <row r="270" spans="1:5" ht="12.75">
      <c r="A270" s="13" t="s">
        <v>79</v>
      </c>
      <c r="B270" s="249" t="s">
        <v>18</v>
      </c>
      <c r="C270" s="248" t="s">
        <v>80</v>
      </c>
      <c r="D270" s="247">
        <v>46847</v>
      </c>
      <c r="E270" s="247">
        <v>43975</v>
      </c>
    </row>
    <row r="271" spans="1:5" ht="25.5">
      <c r="A271" s="251" t="s">
        <v>38</v>
      </c>
      <c r="B271" s="249" t="s">
        <v>345</v>
      </c>
      <c r="C271" s="248"/>
      <c r="D271" s="247">
        <f>D272</f>
        <v>0</v>
      </c>
      <c r="E271" s="247">
        <f>E272</f>
        <v>0</v>
      </c>
    </row>
    <row r="272" spans="1:5" ht="12.75">
      <c r="A272" s="13" t="s">
        <v>79</v>
      </c>
      <c r="B272" s="249" t="s">
        <v>345</v>
      </c>
      <c r="C272" s="248">
        <v>800</v>
      </c>
      <c r="D272" s="247"/>
      <c r="E272" s="247"/>
    </row>
    <row r="273" spans="1:5" ht="36">
      <c r="A273" s="30" t="s">
        <v>98</v>
      </c>
      <c r="B273" s="249" t="s">
        <v>99</v>
      </c>
      <c r="C273" s="248"/>
      <c r="D273" s="250">
        <f>D274</f>
        <v>100000</v>
      </c>
      <c r="E273" s="250">
        <f>E274</f>
        <v>187738</v>
      </c>
    </row>
    <row r="274" spans="1:5" ht="24">
      <c r="A274" s="30" t="s">
        <v>232</v>
      </c>
      <c r="B274" s="249" t="s">
        <v>99</v>
      </c>
      <c r="C274" s="248">
        <v>200</v>
      </c>
      <c r="D274" s="250">
        <f>200000-100000</f>
        <v>100000</v>
      </c>
      <c r="E274" s="250">
        <v>187738</v>
      </c>
    </row>
    <row r="275" spans="1:5" ht="38.25">
      <c r="A275" s="492" t="s">
        <v>920</v>
      </c>
      <c r="B275" s="249" t="s">
        <v>921</v>
      </c>
      <c r="C275" s="248"/>
      <c r="D275" s="250">
        <f>D276</f>
        <v>291157</v>
      </c>
      <c r="E275" s="250">
        <f>E276</f>
        <v>0</v>
      </c>
    </row>
    <row r="276" spans="1:5" ht="24">
      <c r="A276" s="427" t="s">
        <v>232</v>
      </c>
      <c r="B276" s="249" t="s">
        <v>921</v>
      </c>
      <c r="C276" s="248">
        <v>200</v>
      </c>
      <c r="D276" s="250">
        <v>291157</v>
      </c>
      <c r="E276" s="250"/>
    </row>
    <row r="277" spans="1:5" ht="38.25">
      <c r="A277" s="492" t="s">
        <v>920</v>
      </c>
      <c r="B277" s="249" t="s">
        <v>922</v>
      </c>
      <c r="C277" s="248"/>
      <c r="D277" s="250">
        <f>D278</f>
        <v>679366</v>
      </c>
      <c r="E277" s="250">
        <f>E278</f>
        <v>0</v>
      </c>
    </row>
    <row r="278" spans="1:5" ht="24">
      <c r="A278" s="427" t="s">
        <v>232</v>
      </c>
      <c r="B278" s="459" t="s">
        <v>922</v>
      </c>
      <c r="C278" s="172">
        <v>200</v>
      </c>
      <c r="D278" s="247">
        <v>679366</v>
      </c>
      <c r="E278" s="460"/>
    </row>
    <row r="279" spans="1:5" ht="25.5">
      <c r="A279" s="251" t="s">
        <v>468</v>
      </c>
      <c r="B279" s="249" t="s">
        <v>19</v>
      </c>
      <c r="C279" s="264" t="s">
        <v>89</v>
      </c>
      <c r="D279" s="250">
        <f>D280</f>
        <v>130000</v>
      </c>
      <c r="E279" s="250">
        <f>E280</f>
        <v>140803</v>
      </c>
    </row>
    <row r="280" spans="1:5" ht="25.5">
      <c r="A280" s="246" t="s">
        <v>232</v>
      </c>
      <c r="B280" s="245" t="s">
        <v>19</v>
      </c>
      <c r="C280" s="245">
        <v>200</v>
      </c>
      <c r="D280" s="243">
        <v>130000</v>
      </c>
      <c r="E280" s="243">
        <v>140803</v>
      </c>
    </row>
    <row r="281" spans="1:5" ht="25.5">
      <c r="A281" s="257" t="s">
        <v>178</v>
      </c>
      <c r="B281" s="224" t="s">
        <v>704</v>
      </c>
      <c r="C281" s="224" t="s">
        <v>89</v>
      </c>
      <c r="D281" s="223">
        <f aca="true" t="shared" si="11" ref="D281:E283">D282</f>
        <v>100000</v>
      </c>
      <c r="E281" s="223">
        <f t="shared" si="11"/>
        <v>93869</v>
      </c>
    </row>
    <row r="282" spans="1:5" ht="12.75">
      <c r="A282" s="13" t="s">
        <v>540</v>
      </c>
      <c r="B282" s="248" t="s">
        <v>705</v>
      </c>
      <c r="C282" s="248" t="s">
        <v>89</v>
      </c>
      <c r="D282" s="250">
        <f t="shared" si="11"/>
        <v>100000</v>
      </c>
      <c r="E282" s="250">
        <f t="shared" si="11"/>
        <v>93869</v>
      </c>
    </row>
    <row r="283" spans="1:5" ht="12.75">
      <c r="A283" s="251" t="s">
        <v>265</v>
      </c>
      <c r="B283" s="248" t="s">
        <v>226</v>
      </c>
      <c r="C283" s="264" t="s">
        <v>89</v>
      </c>
      <c r="D283" s="250">
        <f t="shared" si="11"/>
        <v>100000</v>
      </c>
      <c r="E283" s="250">
        <f t="shared" si="11"/>
        <v>93869</v>
      </c>
    </row>
    <row r="284" spans="1:5" ht="12.75">
      <c r="A284" s="305" t="s">
        <v>79</v>
      </c>
      <c r="B284" s="399" t="s">
        <v>226</v>
      </c>
      <c r="C284" s="399" t="s">
        <v>80</v>
      </c>
      <c r="D284" s="306">
        <v>100000</v>
      </c>
      <c r="E284" s="306">
        <v>93869</v>
      </c>
    </row>
    <row r="285" spans="1:5" ht="12.75">
      <c r="A285" s="414" t="s">
        <v>769</v>
      </c>
      <c r="B285" s="414"/>
      <c r="C285" s="414"/>
      <c r="D285" s="488">
        <v>4301916</v>
      </c>
      <c r="E285" s="488">
        <v>9468328</v>
      </c>
    </row>
  </sheetData>
  <sheetProtection/>
  <mergeCells count="1">
    <mergeCell ref="A3:E3"/>
  </mergeCells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9900"/>
  </sheetPr>
  <dimension ref="A1:D22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4.8515625" style="0" customWidth="1"/>
    <col min="2" max="2" width="58.140625" style="0" customWidth="1"/>
    <col min="3" max="4" width="14.28125" style="0" customWidth="1"/>
  </cols>
  <sheetData>
    <row r="1" spans="2:4" ht="12.75">
      <c r="B1" s="10"/>
      <c r="D1" s="10" t="s">
        <v>36</v>
      </c>
    </row>
    <row r="2" spans="2:4" ht="12.75">
      <c r="B2" s="10"/>
      <c r="D2" s="11" t="s">
        <v>267</v>
      </c>
    </row>
    <row r="3" spans="3:4" ht="12.75">
      <c r="C3" s="35"/>
      <c r="D3" s="49" t="s">
        <v>908</v>
      </c>
    </row>
    <row r="4" ht="12.75">
      <c r="A4" s="10"/>
    </row>
    <row r="5" spans="1:4" ht="25.5" customHeight="1">
      <c r="A5" s="36" t="s">
        <v>910</v>
      </c>
      <c r="B5" s="37"/>
      <c r="C5" s="37"/>
      <c r="D5" s="37"/>
    </row>
    <row r="6" ht="12.75">
      <c r="A6" s="38"/>
    </row>
    <row r="7" spans="1:3" ht="12.75" customHeight="1">
      <c r="A7" s="37" t="s">
        <v>372</v>
      </c>
      <c r="B7" s="37"/>
      <c r="C7" s="37"/>
    </row>
    <row r="8" spans="1:3" ht="12.75">
      <c r="A8" s="39"/>
      <c r="C8" s="11"/>
    </row>
    <row r="9" spans="1:4" ht="45">
      <c r="A9" s="40" t="s">
        <v>687</v>
      </c>
      <c r="B9" s="40" t="s">
        <v>688</v>
      </c>
      <c r="C9" s="40" t="s">
        <v>381</v>
      </c>
      <c r="D9" s="40" t="s">
        <v>689</v>
      </c>
    </row>
    <row r="10" spans="1:4" ht="12.75">
      <c r="A10" s="41" t="s">
        <v>373</v>
      </c>
      <c r="B10" s="41" t="s">
        <v>374</v>
      </c>
      <c r="C10" s="42"/>
      <c r="D10" s="42"/>
    </row>
    <row r="11" spans="1:4" ht="25.5">
      <c r="A11" s="43" t="s">
        <v>375</v>
      </c>
      <c r="B11" s="43" t="s">
        <v>690</v>
      </c>
      <c r="C11" s="44">
        <v>30493000</v>
      </c>
      <c r="D11" s="44" t="s">
        <v>17</v>
      </c>
    </row>
    <row r="12" spans="1:4" ht="12.75">
      <c r="A12" s="68" t="s">
        <v>376</v>
      </c>
      <c r="B12" s="68" t="s">
        <v>377</v>
      </c>
      <c r="C12" s="69"/>
      <c r="D12" s="69"/>
    </row>
    <row r="13" spans="1:4" ht="12.75">
      <c r="A13" s="45"/>
      <c r="B13" s="82" t="s">
        <v>378</v>
      </c>
      <c r="C13" s="46">
        <f>SUM(C10:C12)</f>
        <v>30493000</v>
      </c>
      <c r="D13" s="46"/>
    </row>
    <row r="16" spans="1:3" ht="12.75" customHeight="1">
      <c r="A16" s="37" t="s">
        <v>164</v>
      </c>
      <c r="B16" s="37"/>
      <c r="C16" s="37"/>
    </row>
    <row r="17" spans="1:3" ht="12.75">
      <c r="A17" s="39"/>
      <c r="C17" s="11"/>
    </row>
    <row r="18" spans="1:4" ht="45" customHeight="1">
      <c r="A18" s="40" t="s">
        <v>687</v>
      </c>
      <c r="B18" s="40" t="s">
        <v>688</v>
      </c>
      <c r="C18" s="504" t="s">
        <v>911</v>
      </c>
      <c r="D18" s="504"/>
    </row>
    <row r="19" spans="1:4" ht="12.75">
      <c r="A19" s="47" t="s">
        <v>373</v>
      </c>
      <c r="B19" s="47" t="s">
        <v>374</v>
      </c>
      <c r="C19" s="505"/>
      <c r="D19" s="505"/>
    </row>
    <row r="20" spans="1:4" ht="25.5">
      <c r="A20" s="43" t="s">
        <v>375</v>
      </c>
      <c r="B20" s="43" t="s">
        <v>690</v>
      </c>
      <c r="C20" s="506">
        <v>19353000</v>
      </c>
      <c r="D20" s="506"/>
    </row>
    <row r="21" spans="1:4" ht="12.75">
      <c r="A21" s="68" t="s">
        <v>376</v>
      </c>
      <c r="B21" s="68" t="s">
        <v>377</v>
      </c>
      <c r="C21" s="507"/>
      <c r="D21" s="507"/>
    </row>
    <row r="22" spans="1:4" ht="12.75">
      <c r="A22" s="45"/>
      <c r="B22" s="82" t="s">
        <v>378</v>
      </c>
      <c r="C22" s="503">
        <f>SUM(C19:C21)</f>
        <v>19353000</v>
      </c>
      <c r="D22" s="503"/>
    </row>
  </sheetData>
  <sheetProtection/>
  <mergeCells count="5">
    <mergeCell ref="C22:D22"/>
    <mergeCell ref="C18:D18"/>
    <mergeCell ref="C19:D19"/>
    <mergeCell ref="C20:D20"/>
    <mergeCell ref="C21:D21"/>
  </mergeCells>
  <printOptions/>
  <pageMargins left="0.7874015748031497" right="0.42" top="0.5905511811023623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900"/>
  </sheetPr>
  <dimension ref="A1:F22"/>
  <sheetViews>
    <sheetView showGridLines="0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4.8515625" style="0" customWidth="1"/>
    <col min="2" max="2" width="42.7109375" style="0" customWidth="1"/>
    <col min="3" max="6" width="12.57421875" style="0" customWidth="1"/>
  </cols>
  <sheetData>
    <row r="1" spans="2:6" ht="12.75">
      <c r="B1" s="10"/>
      <c r="F1" s="10" t="s">
        <v>546</v>
      </c>
    </row>
    <row r="2" spans="2:6" ht="12.75">
      <c r="B2" s="10"/>
      <c r="F2" s="11" t="s">
        <v>267</v>
      </c>
    </row>
    <row r="3" spans="2:6" ht="12.75">
      <c r="B3" s="35"/>
      <c r="F3" s="49" t="s">
        <v>913</v>
      </c>
    </row>
    <row r="4" ht="12.75">
      <c r="A4" s="10"/>
    </row>
    <row r="5" spans="1:6" ht="25.5">
      <c r="A5" s="36" t="s">
        <v>927</v>
      </c>
      <c r="B5" s="37"/>
      <c r="C5" s="37"/>
      <c r="D5" s="94"/>
      <c r="E5" s="94"/>
      <c r="F5" s="94"/>
    </row>
    <row r="6" ht="12.75">
      <c r="A6" s="38"/>
    </row>
    <row r="7" spans="1:3" ht="12.75">
      <c r="A7" s="37" t="s">
        <v>372</v>
      </c>
      <c r="B7" s="37"/>
      <c r="C7" s="37"/>
    </row>
    <row r="8" spans="1:6" ht="12.75">
      <c r="A8" s="39"/>
      <c r="C8" s="11"/>
      <c r="F8" s="11"/>
    </row>
    <row r="9" spans="1:6" ht="56.25">
      <c r="A9" s="40" t="s">
        <v>687</v>
      </c>
      <c r="B9" s="40" t="s">
        <v>688</v>
      </c>
      <c r="C9" s="40" t="s">
        <v>610</v>
      </c>
      <c r="D9" s="40" t="s">
        <v>689</v>
      </c>
      <c r="E9" s="40" t="s">
        <v>953</v>
      </c>
      <c r="F9" s="40" t="s">
        <v>689</v>
      </c>
    </row>
    <row r="10" spans="1:6" ht="12.75">
      <c r="A10" s="41" t="s">
        <v>373</v>
      </c>
      <c r="B10" s="41" t="s">
        <v>374</v>
      </c>
      <c r="C10" s="42"/>
      <c r="D10" s="42"/>
      <c r="E10" s="42"/>
      <c r="F10" s="42"/>
    </row>
    <row r="11" spans="1:6" ht="25.5">
      <c r="A11" s="43" t="s">
        <v>375</v>
      </c>
      <c r="B11" s="43" t="s">
        <v>106</v>
      </c>
      <c r="C11" s="44">
        <v>20213902</v>
      </c>
      <c r="D11" s="44" t="s">
        <v>17</v>
      </c>
      <c r="E11" s="44">
        <v>24923902</v>
      </c>
      <c r="F11" s="44" t="s">
        <v>17</v>
      </c>
    </row>
    <row r="12" spans="1:6" ht="12.75">
      <c r="A12" s="68" t="s">
        <v>376</v>
      </c>
      <c r="B12" s="68" t="s">
        <v>377</v>
      </c>
      <c r="C12" s="69"/>
      <c r="D12" s="69"/>
      <c r="E12" s="69"/>
      <c r="F12" s="69"/>
    </row>
    <row r="13" spans="1:6" ht="12.75">
      <c r="A13" s="45"/>
      <c r="B13" s="82" t="s">
        <v>378</v>
      </c>
      <c r="C13" s="46">
        <f>SUM(C10:C12)</f>
        <v>20213902</v>
      </c>
      <c r="D13" s="46">
        <f>SUM(D10:D12)</f>
        <v>0</v>
      </c>
      <c r="E13" s="46">
        <f>SUM(E10:E12)</f>
        <v>24923902</v>
      </c>
      <c r="F13" s="46">
        <f>SUM(F10:F12)</f>
        <v>0</v>
      </c>
    </row>
    <row r="16" spans="1:3" ht="12.75">
      <c r="A16" s="37" t="s">
        <v>164</v>
      </c>
      <c r="B16" s="37"/>
      <c r="C16" s="37"/>
    </row>
    <row r="17" spans="1:6" ht="12.75">
      <c r="A17" s="39"/>
      <c r="C17" s="11"/>
      <c r="D17" s="11"/>
      <c r="F17" s="11"/>
    </row>
    <row r="18" spans="1:6" ht="22.5">
      <c r="A18" s="40" t="s">
        <v>687</v>
      </c>
      <c r="B18" s="40" t="s">
        <v>688</v>
      </c>
      <c r="C18" s="510" t="s">
        <v>611</v>
      </c>
      <c r="D18" s="511"/>
      <c r="E18" s="510" t="s">
        <v>928</v>
      </c>
      <c r="F18" s="511"/>
    </row>
    <row r="19" spans="1:6" ht="12.75">
      <c r="A19" s="47" t="s">
        <v>373</v>
      </c>
      <c r="B19" s="47" t="s">
        <v>374</v>
      </c>
      <c r="C19" s="512"/>
      <c r="D19" s="513"/>
      <c r="E19" s="512"/>
      <c r="F19" s="513"/>
    </row>
    <row r="20" spans="1:6" ht="25.5">
      <c r="A20" s="43" t="s">
        <v>375</v>
      </c>
      <c r="B20" s="43" t="s">
        <v>106</v>
      </c>
      <c r="C20" s="514">
        <v>20213902</v>
      </c>
      <c r="D20" s="515"/>
      <c r="E20" s="514">
        <v>24923902</v>
      </c>
      <c r="F20" s="515"/>
    </row>
    <row r="21" spans="1:6" ht="12.75">
      <c r="A21" s="68" t="s">
        <v>376</v>
      </c>
      <c r="B21" s="68" t="s">
        <v>377</v>
      </c>
      <c r="C21" s="516"/>
      <c r="D21" s="517"/>
      <c r="E21" s="516"/>
      <c r="F21" s="517"/>
    </row>
    <row r="22" spans="1:6" ht="12.75">
      <c r="A22" s="45"/>
      <c r="B22" s="82" t="s">
        <v>378</v>
      </c>
      <c r="C22" s="508">
        <f>SUM(C19:C21)</f>
        <v>20213902</v>
      </c>
      <c r="D22" s="509"/>
      <c r="E22" s="508">
        <f>SUM(E19:E21)</f>
        <v>24923902</v>
      </c>
      <c r="F22" s="509"/>
    </row>
  </sheetData>
  <sheetProtection/>
  <mergeCells count="10">
    <mergeCell ref="C22:D22"/>
    <mergeCell ref="E18:F18"/>
    <mergeCell ref="E19:F19"/>
    <mergeCell ref="E20:F20"/>
    <mergeCell ref="E21:F21"/>
    <mergeCell ref="E22:F22"/>
    <mergeCell ref="C18:D18"/>
    <mergeCell ref="C19:D19"/>
    <mergeCell ref="C20:D20"/>
    <mergeCell ref="C21:D21"/>
  </mergeCells>
  <printOptions/>
  <pageMargins left="0.7874015748031497" right="0.42" top="0.5905511811023623" bottom="0.3937007874015748" header="0.31496062992125984" footer="0.31496062992125984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9900"/>
  </sheetPr>
  <dimension ref="A1:H22"/>
  <sheetViews>
    <sheetView showGridLines="0" tabSelected="1"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1" width="5.140625" style="99" customWidth="1"/>
    <col min="2" max="2" width="14.57421875" style="99" customWidth="1"/>
    <col min="3" max="3" width="13.7109375" style="99" customWidth="1"/>
    <col min="4" max="4" width="14.7109375" style="99" customWidth="1"/>
    <col min="5" max="5" width="18.140625" style="99" customWidth="1"/>
    <col min="6" max="6" width="13.57421875" style="99" customWidth="1"/>
    <col min="7" max="16384" width="9.140625" style="99" customWidth="1"/>
  </cols>
  <sheetData>
    <row r="1" spans="2:7" ht="12.75">
      <c r="B1" s="100"/>
      <c r="C1" s="100"/>
      <c r="D1" s="100"/>
      <c r="E1" s="100"/>
      <c r="F1" s="100"/>
      <c r="G1" s="100" t="s">
        <v>35</v>
      </c>
    </row>
    <row r="2" spans="2:7" ht="12.75">
      <c r="B2" s="100"/>
      <c r="C2" s="100"/>
      <c r="D2" s="100"/>
      <c r="E2" s="100"/>
      <c r="F2" s="100"/>
      <c r="G2" s="11" t="s">
        <v>267</v>
      </c>
    </row>
    <row r="3" spans="2:7" ht="12.75">
      <c r="B3" s="100"/>
      <c r="C3" s="100"/>
      <c r="D3" s="100"/>
      <c r="E3" s="100"/>
      <c r="F3" s="100"/>
      <c r="G3" s="49" t="s">
        <v>913</v>
      </c>
    </row>
    <row r="4" spans="1:7" ht="12.75">
      <c r="A4" s="107"/>
      <c r="B4" s="103"/>
      <c r="C4" s="103"/>
      <c r="D4" s="103"/>
      <c r="E4" s="103"/>
      <c r="F4" s="103"/>
      <c r="G4" s="103"/>
    </row>
    <row r="5" spans="1:7" ht="12.75">
      <c r="A5" s="108" t="s">
        <v>912</v>
      </c>
      <c r="B5" s="101"/>
      <c r="C5" s="101"/>
      <c r="D5" s="101"/>
      <c r="E5" s="101"/>
      <c r="F5" s="101"/>
      <c r="G5" s="101"/>
    </row>
    <row r="6" spans="1:7" ht="12.75">
      <c r="A6" s="102"/>
      <c r="B6" s="103"/>
      <c r="C6" s="103"/>
      <c r="D6" s="103"/>
      <c r="E6" s="103"/>
      <c r="F6" s="103"/>
      <c r="G6" s="103"/>
    </row>
    <row r="7" spans="1:7" ht="12.75">
      <c r="A7" s="101" t="s">
        <v>930</v>
      </c>
      <c r="B7" s="101"/>
      <c r="C7" s="101"/>
      <c r="D7" s="101"/>
      <c r="E7" s="101"/>
      <c r="F7" s="101"/>
      <c r="G7" s="101"/>
    </row>
    <row r="8" spans="1:7" ht="12.75">
      <c r="A8" s="102"/>
      <c r="B8" s="103"/>
      <c r="C8" s="103"/>
      <c r="D8" s="103"/>
      <c r="E8" s="103"/>
      <c r="F8" s="103"/>
      <c r="G8" s="103"/>
    </row>
    <row r="9" spans="1:7" ht="45">
      <c r="A9" s="104"/>
      <c r="B9" s="104" t="s">
        <v>607</v>
      </c>
      <c r="C9" s="104" t="s">
        <v>608</v>
      </c>
      <c r="D9" s="104" t="s">
        <v>181</v>
      </c>
      <c r="E9" s="104" t="s">
        <v>182</v>
      </c>
      <c r="F9" s="104" t="s">
        <v>183</v>
      </c>
      <c r="G9" s="104" t="s">
        <v>184</v>
      </c>
    </row>
    <row r="10" spans="1:7" ht="12.75">
      <c r="A10" s="104" t="s">
        <v>74</v>
      </c>
      <c r="B10" s="104" t="s">
        <v>87</v>
      </c>
      <c r="C10" s="104" t="s">
        <v>75</v>
      </c>
      <c r="D10" s="104" t="s">
        <v>532</v>
      </c>
      <c r="E10" s="104" t="s">
        <v>533</v>
      </c>
      <c r="F10" s="104" t="s">
        <v>534</v>
      </c>
      <c r="G10" s="104" t="s">
        <v>185</v>
      </c>
    </row>
    <row r="11" spans="1:7" ht="12.75">
      <c r="A11" s="109"/>
      <c r="B11" s="110" t="s">
        <v>186</v>
      </c>
      <c r="C11" s="110" t="s">
        <v>186</v>
      </c>
      <c r="D11" s="110" t="s">
        <v>186</v>
      </c>
      <c r="E11" s="110" t="s">
        <v>186</v>
      </c>
      <c r="F11" s="110" t="s">
        <v>186</v>
      </c>
      <c r="G11" s="110" t="s">
        <v>186</v>
      </c>
    </row>
    <row r="12" spans="1:7" ht="12.75">
      <c r="A12" s="105"/>
      <c r="B12" s="105"/>
      <c r="C12" s="105"/>
      <c r="D12" s="105"/>
      <c r="E12" s="105"/>
      <c r="F12" s="105"/>
      <c r="G12" s="105"/>
    </row>
    <row r="13" spans="1:7" ht="12.75">
      <c r="A13" s="105"/>
      <c r="B13" s="105"/>
      <c r="C13" s="105"/>
      <c r="D13" s="105"/>
      <c r="E13" s="105"/>
      <c r="F13" s="105"/>
      <c r="G13" s="105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3"/>
      <c r="B15" s="103"/>
      <c r="C15" s="103"/>
      <c r="D15" s="103"/>
      <c r="E15" s="103"/>
      <c r="F15" s="103"/>
      <c r="G15" s="103"/>
    </row>
    <row r="16" spans="1:7" ht="12.75">
      <c r="A16" s="103"/>
      <c r="B16" s="103"/>
      <c r="C16" s="103"/>
      <c r="D16" s="103"/>
      <c r="E16" s="103"/>
      <c r="F16" s="103"/>
      <c r="G16" s="103"/>
    </row>
    <row r="17" spans="1:7" ht="25.5">
      <c r="A17" s="101" t="s">
        <v>914</v>
      </c>
      <c r="B17" s="101"/>
      <c r="C17" s="101"/>
      <c r="D17" s="101"/>
      <c r="E17" s="101"/>
      <c r="F17" s="101"/>
      <c r="G17" s="101"/>
    </row>
    <row r="18" spans="1:7" ht="12.75">
      <c r="A18" s="102"/>
      <c r="B18" s="103"/>
      <c r="C18" s="103"/>
      <c r="D18" s="103"/>
      <c r="E18" s="103"/>
      <c r="F18" s="103"/>
      <c r="G18" s="103"/>
    </row>
    <row r="19" spans="1:8" ht="27">
      <c r="A19" s="520" t="s">
        <v>187</v>
      </c>
      <c r="B19" s="520"/>
      <c r="C19" s="520"/>
      <c r="D19" s="520" t="s">
        <v>188</v>
      </c>
      <c r="E19" s="520"/>
      <c r="F19" s="520"/>
      <c r="G19" s="520"/>
      <c r="H19" s="111"/>
    </row>
    <row r="20" spans="1:8" ht="27">
      <c r="A20" s="522" t="s">
        <v>189</v>
      </c>
      <c r="B20" s="522"/>
      <c r="C20" s="522"/>
      <c r="D20" s="521" t="s">
        <v>186</v>
      </c>
      <c r="E20" s="521"/>
      <c r="F20" s="521"/>
      <c r="G20" s="521"/>
      <c r="H20" s="111"/>
    </row>
    <row r="21" spans="1:8" ht="27">
      <c r="A21" s="518" t="s">
        <v>190</v>
      </c>
      <c r="B21" s="518"/>
      <c r="C21" s="518"/>
      <c r="D21" s="519" t="s">
        <v>186</v>
      </c>
      <c r="E21" s="519"/>
      <c r="F21" s="519"/>
      <c r="G21" s="519"/>
      <c r="H21" s="111"/>
    </row>
    <row r="22" spans="1:7" ht="12.75">
      <c r="A22" s="103"/>
      <c r="B22" s="103"/>
      <c r="C22" s="103"/>
      <c r="D22" s="103"/>
      <c r="E22" s="103"/>
      <c r="F22" s="103"/>
      <c r="G22" s="103"/>
    </row>
  </sheetData>
  <sheetProtection/>
  <mergeCells count="6">
    <mergeCell ref="A21:C21"/>
    <mergeCell ref="D21:G21"/>
    <mergeCell ref="A19:C19"/>
    <mergeCell ref="D19:G19"/>
    <mergeCell ref="D20:G20"/>
    <mergeCell ref="A20:C20"/>
  </mergeCells>
  <printOptions/>
  <pageMargins left="0.7874015748031497" right="0.31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9900"/>
  </sheetPr>
  <dimension ref="A1:G21"/>
  <sheetViews>
    <sheetView showGridLines="0"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5.140625" style="99" customWidth="1"/>
    <col min="2" max="2" width="17.00390625" style="99" customWidth="1"/>
    <col min="3" max="4" width="14.7109375" style="99" customWidth="1"/>
    <col min="5" max="5" width="17.57421875" style="99" customWidth="1"/>
    <col min="6" max="6" width="13.57421875" style="99" customWidth="1"/>
    <col min="7" max="16384" width="9.140625" style="99" customWidth="1"/>
  </cols>
  <sheetData>
    <row r="1" spans="2:7" ht="12.75">
      <c r="B1" s="100"/>
      <c r="C1" s="100"/>
      <c r="D1" s="100"/>
      <c r="E1" s="100"/>
      <c r="F1" s="100"/>
      <c r="G1" s="100" t="s">
        <v>606</v>
      </c>
    </row>
    <row r="2" spans="2:7" ht="12.75">
      <c r="B2" s="100"/>
      <c r="C2" s="100"/>
      <c r="D2" s="100"/>
      <c r="E2" s="100"/>
      <c r="F2" s="100"/>
      <c r="G2" s="11" t="s">
        <v>267</v>
      </c>
    </row>
    <row r="3" spans="2:7" ht="12.75">
      <c r="B3" s="100"/>
      <c r="C3" s="100"/>
      <c r="D3" s="100"/>
      <c r="E3" s="100"/>
      <c r="F3" s="100"/>
      <c r="G3" s="49" t="s">
        <v>913</v>
      </c>
    </row>
    <row r="4" spans="1:7" ht="12.75">
      <c r="A4" s="107"/>
      <c r="B4" s="103"/>
      <c r="C4" s="103"/>
      <c r="D4" s="103"/>
      <c r="E4" s="103"/>
      <c r="F4" s="103"/>
      <c r="G4" s="103"/>
    </row>
    <row r="5" spans="1:7" ht="12.75">
      <c r="A5" s="108" t="s">
        <v>915</v>
      </c>
      <c r="B5" s="101"/>
      <c r="C5" s="101"/>
      <c r="D5" s="101"/>
      <c r="E5" s="101"/>
      <c r="F5" s="101"/>
      <c r="G5" s="101"/>
    </row>
    <row r="6" spans="1:7" ht="12.75">
      <c r="A6" s="102"/>
      <c r="B6" s="103"/>
      <c r="C6" s="103"/>
      <c r="D6" s="103"/>
      <c r="E6" s="103"/>
      <c r="F6" s="103"/>
      <c r="G6" s="103"/>
    </row>
    <row r="7" spans="1:7" ht="25.5">
      <c r="A7" s="101" t="s">
        <v>916</v>
      </c>
      <c r="B7" s="101"/>
      <c r="C7" s="101"/>
      <c r="D7" s="101"/>
      <c r="E7" s="101"/>
      <c r="F7" s="101"/>
      <c r="G7" s="101"/>
    </row>
    <row r="8" spans="1:7" ht="12.75">
      <c r="A8" s="102"/>
      <c r="B8" s="103"/>
      <c r="C8" s="103"/>
      <c r="D8" s="103"/>
      <c r="E8" s="103"/>
      <c r="F8" s="103"/>
      <c r="G8" s="103"/>
    </row>
    <row r="9" spans="1:7" ht="45">
      <c r="A9" s="104"/>
      <c r="B9" s="104" t="s">
        <v>607</v>
      </c>
      <c r="C9" s="104" t="s">
        <v>608</v>
      </c>
      <c r="D9" s="104" t="s">
        <v>181</v>
      </c>
      <c r="E9" s="104" t="s">
        <v>182</v>
      </c>
      <c r="F9" s="104" t="s">
        <v>183</v>
      </c>
      <c r="G9" s="104" t="s">
        <v>184</v>
      </c>
    </row>
    <row r="10" spans="1:7" ht="12.75">
      <c r="A10" s="104" t="s">
        <v>74</v>
      </c>
      <c r="B10" s="104" t="s">
        <v>87</v>
      </c>
      <c r="C10" s="104" t="s">
        <v>75</v>
      </c>
      <c r="D10" s="104" t="s">
        <v>532</v>
      </c>
      <c r="E10" s="104" t="s">
        <v>533</v>
      </c>
      <c r="F10" s="104" t="s">
        <v>534</v>
      </c>
      <c r="G10" s="104" t="s">
        <v>185</v>
      </c>
    </row>
    <row r="11" spans="1:7" ht="12.75">
      <c r="A11" s="109"/>
      <c r="B11" s="110" t="s">
        <v>186</v>
      </c>
      <c r="C11" s="110" t="s">
        <v>186</v>
      </c>
      <c r="D11" s="110" t="s">
        <v>186</v>
      </c>
      <c r="E11" s="110" t="s">
        <v>186</v>
      </c>
      <c r="F11" s="110" t="s">
        <v>186</v>
      </c>
      <c r="G11" s="110" t="s">
        <v>186</v>
      </c>
    </row>
    <row r="12" spans="1:7" ht="12.75">
      <c r="A12" s="105"/>
      <c r="B12" s="105"/>
      <c r="C12" s="105"/>
      <c r="D12" s="105"/>
      <c r="E12" s="105"/>
      <c r="F12" s="105"/>
      <c r="G12" s="105"/>
    </row>
    <row r="13" spans="1:7" ht="12.75">
      <c r="A13" s="105"/>
      <c r="B13" s="105"/>
      <c r="C13" s="105"/>
      <c r="D13" s="105"/>
      <c r="E13" s="105"/>
      <c r="F13" s="105"/>
      <c r="G13" s="105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3"/>
      <c r="B15" s="103"/>
      <c r="C15" s="103"/>
      <c r="D15" s="103"/>
      <c r="E15" s="103"/>
      <c r="F15" s="103"/>
      <c r="G15" s="103"/>
    </row>
    <row r="16" spans="1:7" ht="12.75">
      <c r="A16" s="103"/>
      <c r="B16" s="103"/>
      <c r="C16" s="103"/>
      <c r="D16" s="103"/>
      <c r="E16" s="103"/>
      <c r="F16" s="103"/>
      <c r="G16" s="103"/>
    </row>
    <row r="17" spans="1:7" ht="25.5">
      <c r="A17" s="101" t="s">
        <v>917</v>
      </c>
      <c r="B17" s="101"/>
      <c r="C17" s="101"/>
      <c r="D17" s="101"/>
      <c r="E17" s="101"/>
      <c r="F17" s="101"/>
      <c r="G17" s="101"/>
    </row>
    <row r="18" spans="1:7" ht="12.75">
      <c r="A18" s="102"/>
      <c r="B18" s="103"/>
      <c r="C18" s="103"/>
      <c r="D18" s="103"/>
      <c r="E18" s="103"/>
      <c r="F18" s="103"/>
      <c r="G18" s="103"/>
    </row>
    <row r="19" spans="1:7" ht="67.5">
      <c r="A19" s="520" t="s">
        <v>187</v>
      </c>
      <c r="B19" s="520"/>
      <c r="C19" s="520"/>
      <c r="D19" s="112" t="s">
        <v>609</v>
      </c>
      <c r="E19" s="113"/>
      <c r="F19" s="112" t="s">
        <v>918</v>
      </c>
      <c r="G19" s="113"/>
    </row>
    <row r="20" spans="1:7" ht="29.25" customHeight="1">
      <c r="A20" s="529" t="s">
        <v>189</v>
      </c>
      <c r="B20" s="530"/>
      <c r="C20" s="531"/>
      <c r="D20" s="532" t="s">
        <v>186</v>
      </c>
      <c r="E20" s="533"/>
      <c r="F20" s="532" t="s">
        <v>186</v>
      </c>
      <c r="G20" s="534"/>
    </row>
    <row r="21" spans="1:7" ht="29.25" customHeight="1">
      <c r="A21" s="523" t="s">
        <v>190</v>
      </c>
      <c r="B21" s="524"/>
      <c r="C21" s="525"/>
      <c r="D21" s="526" t="s">
        <v>186</v>
      </c>
      <c r="E21" s="527"/>
      <c r="F21" s="526" t="s">
        <v>186</v>
      </c>
      <c r="G21" s="528"/>
    </row>
  </sheetData>
  <sheetProtection/>
  <mergeCells count="7">
    <mergeCell ref="A21:C21"/>
    <mergeCell ref="D21:E21"/>
    <mergeCell ref="F21:G21"/>
    <mergeCell ref="A19:C19"/>
    <mergeCell ref="A20:C20"/>
    <mergeCell ref="D20:E20"/>
    <mergeCell ref="F20:G20"/>
  </mergeCells>
  <printOptions/>
  <pageMargins left="0.7874015748031497" right="0.31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J23"/>
  <sheetViews>
    <sheetView showGridLines="0" zoomScaleSheetLayoutView="100" zoomScalePageLayoutView="0" workbookViewId="0" topLeftCell="A4">
      <selection activeCell="E14" sqref="E14"/>
    </sheetView>
  </sheetViews>
  <sheetFormatPr defaultColWidth="9.140625" defaultRowHeight="12.75"/>
  <cols>
    <col min="1" max="1" width="22.140625" style="3" customWidth="1"/>
    <col min="2" max="2" width="50.8515625" style="3" customWidth="1"/>
    <col min="3" max="3" width="12.57421875" style="3" customWidth="1"/>
    <col min="4" max="4" width="13.28125" style="3" customWidth="1"/>
    <col min="5" max="16384" width="9.140625" style="3" customWidth="1"/>
  </cols>
  <sheetData>
    <row r="1" spans="2:4" ht="12.75">
      <c r="B1" s="16"/>
      <c r="D1" s="16" t="s">
        <v>739</v>
      </c>
    </row>
    <row r="2" spans="2:4" ht="12.75">
      <c r="B2" s="16"/>
      <c r="D2" s="11" t="s">
        <v>267</v>
      </c>
    </row>
    <row r="3" spans="2:4" ht="12.75">
      <c r="B3" s="10"/>
      <c r="D3" s="49" t="s">
        <v>926</v>
      </c>
    </row>
    <row r="4" spans="1:3" ht="12.75" customHeight="1">
      <c r="A4" s="495" t="s">
        <v>925</v>
      </c>
      <c r="B4" s="495"/>
      <c r="C4" s="495"/>
    </row>
    <row r="5" spans="1:4" ht="12.75">
      <c r="A5" s="4"/>
      <c r="C5" s="5"/>
      <c r="D5" s="5" t="s">
        <v>587</v>
      </c>
    </row>
    <row r="6" spans="1:4" ht="33.75">
      <c r="A6" s="6" t="s">
        <v>363</v>
      </c>
      <c r="B6" s="6" t="s">
        <v>293</v>
      </c>
      <c r="C6" s="6" t="s">
        <v>612</v>
      </c>
      <c r="D6" s="6" t="s">
        <v>919</v>
      </c>
    </row>
    <row r="7" spans="1:10" ht="12.75">
      <c r="A7" s="6">
        <v>1</v>
      </c>
      <c r="B7" s="6">
        <v>2</v>
      </c>
      <c r="C7" s="6">
        <v>3</v>
      </c>
      <c r="D7" s="6">
        <v>4</v>
      </c>
      <c r="J7" s="81"/>
    </row>
    <row r="8" spans="1:5" ht="25.5">
      <c r="A8" s="125" t="s">
        <v>557</v>
      </c>
      <c r="B8" s="8" t="s">
        <v>105</v>
      </c>
      <c r="C8" s="50">
        <f>C9</f>
        <v>0</v>
      </c>
      <c r="D8" s="50">
        <f>D9</f>
        <v>0</v>
      </c>
      <c r="E8" s="14"/>
    </row>
    <row r="9" spans="1:5" ht="25.5">
      <c r="A9" s="7" t="s">
        <v>107</v>
      </c>
      <c r="B9" s="2" t="s">
        <v>199</v>
      </c>
      <c r="C9" s="51">
        <f>C10+C12</f>
        <v>0</v>
      </c>
      <c r="D9" s="51">
        <f>D10+D12</f>
        <v>0</v>
      </c>
      <c r="E9" s="14"/>
    </row>
    <row r="10" spans="1:5" ht="38.25">
      <c r="A10" s="132" t="s">
        <v>168</v>
      </c>
      <c r="B10" s="133" t="s">
        <v>347</v>
      </c>
      <c r="C10" s="51">
        <f>C11</f>
        <v>20213902</v>
      </c>
      <c r="D10" s="51">
        <f>D11</f>
        <v>24923902</v>
      </c>
      <c r="E10" s="14"/>
    </row>
    <row r="11" spans="1:5" ht="38.25">
      <c r="A11" s="132" t="s">
        <v>169</v>
      </c>
      <c r="B11" s="133" t="s">
        <v>348</v>
      </c>
      <c r="C11" s="535">
        <v>20213902</v>
      </c>
      <c r="D11" s="535">
        <f>24923902</f>
        <v>24923902</v>
      </c>
      <c r="E11" s="14"/>
    </row>
    <row r="12" spans="1:5" ht="38.25">
      <c r="A12" s="7" t="s">
        <v>170</v>
      </c>
      <c r="B12" s="2" t="s">
        <v>197</v>
      </c>
      <c r="C12" s="536">
        <f>C13</f>
        <v>-20213902</v>
      </c>
      <c r="D12" s="536">
        <f>D13</f>
        <v>-24923902</v>
      </c>
      <c r="E12" s="14"/>
    </row>
    <row r="13" spans="1:5" ht="38.25">
      <c r="A13" s="7" t="s">
        <v>171</v>
      </c>
      <c r="B13" s="2" t="s">
        <v>198</v>
      </c>
      <c r="C13" s="537">
        <v>-20213902</v>
      </c>
      <c r="D13" s="537">
        <v>-24923902</v>
      </c>
      <c r="E13" s="14"/>
    </row>
    <row r="14" spans="1:5" ht="25.5">
      <c r="A14" s="7" t="s">
        <v>255</v>
      </c>
      <c r="B14" s="9" t="s">
        <v>584</v>
      </c>
      <c r="C14" s="538">
        <f>C15+C19</f>
        <v>0</v>
      </c>
      <c r="D14" s="538">
        <v>12149778</v>
      </c>
      <c r="E14" s="14"/>
    </row>
    <row r="15" spans="1:5" ht="12.75">
      <c r="A15" s="7" t="s">
        <v>256</v>
      </c>
      <c r="B15" s="9" t="s">
        <v>257</v>
      </c>
      <c r="C15" s="538">
        <f aca="true" t="shared" si="0" ref="C15:D17">C16</f>
        <v>-433034554</v>
      </c>
      <c r="D15" s="538">
        <f t="shared" si="0"/>
        <v>-444280144</v>
      </c>
      <c r="E15" s="14"/>
    </row>
    <row r="16" spans="1:5" ht="12.75">
      <c r="A16" s="7" t="s">
        <v>258</v>
      </c>
      <c r="B16" s="9" t="s">
        <v>259</v>
      </c>
      <c r="C16" s="538">
        <f t="shared" si="0"/>
        <v>-433034554</v>
      </c>
      <c r="D16" s="538">
        <f t="shared" si="0"/>
        <v>-444280144</v>
      </c>
      <c r="E16" s="14"/>
    </row>
    <row r="17" spans="1:5" ht="25.5">
      <c r="A17" s="7" t="s">
        <v>585</v>
      </c>
      <c r="B17" s="9" t="s">
        <v>260</v>
      </c>
      <c r="C17" s="538">
        <f t="shared" si="0"/>
        <v>-433034554</v>
      </c>
      <c r="D17" s="538">
        <f t="shared" si="0"/>
        <v>-444280144</v>
      </c>
      <c r="E17" s="14"/>
    </row>
    <row r="18" spans="1:5" ht="25.5">
      <c r="A18" s="7" t="s">
        <v>261</v>
      </c>
      <c r="B18" s="9" t="s">
        <v>262</v>
      </c>
      <c r="C18" s="539">
        <f>-412820652-20213902</f>
        <v>-433034554</v>
      </c>
      <c r="D18" s="539">
        <f>-419356242-24923902</f>
        <v>-444280144</v>
      </c>
      <c r="E18" s="14"/>
    </row>
    <row r="19" spans="1:5" ht="12.75">
      <c r="A19" s="7" t="s">
        <v>651</v>
      </c>
      <c r="B19" s="9" t="s">
        <v>586</v>
      </c>
      <c r="C19" s="538">
        <f aca="true" t="shared" si="1" ref="C19:D21">C20</f>
        <v>433034554</v>
      </c>
      <c r="D19" s="538">
        <f t="shared" si="1"/>
        <v>456429922</v>
      </c>
      <c r="E19" s="14"/>
    </row>
    <row r="20" spans="1:5" ht="12.75">
      <c r="A20" s="7" t="s">
        <v>652</v>
      </c>
      <c r="B20" s="9" t="s">
        <v>653</v>
      </c>
      <c r="C20" s="538">
        <f t="shared" si="1"/>
        <v>433034554</v>
      </c>
      <c r="D20" s="538">
        <f t="shared" si="1"/>
        <v>456429922</v>
      </c>
      <c r="E20" s="14"/>
    </row>
    <row r="21" spans="1:5" ht="25.5">
      <c r="A21" s="7" t="s">
        <v>654</v>
      </c>
      <c r="B21" s="9" t="s">
        <v>655</v>
      </c>
      <c r="C21" s="538">
        <f t="shared" si="1"/>
        <v>433034554</v>
      </c>
      <c r="D21" s="538">
        <f t="shared" si="1"/>
        <v>456429922</v>
      </c>
      <c r="E21" s="14"/>
    </row>
    <row r="22" spans="1:5" ht="25.5">
      <c r="A22" s="134" t="s">
        <v>656</v>
      </c>
      <c r="B22" s="135" t="s">
        <v>657</v>
      </c>
      <c r="C22" s="540">
        <f>412820652+20213902</f>
        <v>433034554</v>
      </c>
      <c r="D22" s="540">
        <f>431506020+24923902</f>
        <v>456429922</v>
      </c>
      <c r="E22" s="14"/>
    </row>
    <row r="23" ht="12.75">
      <c r="C23" s="15"/>
    </row>
  </sheetData>
  <sheetProtection/>
  <mergeCells count="1">
    <mergeCell ref="A4:C4"/>
  </mergeCells>
  <printOptions/>
  <pageMargins left="0.7874015748031497" right="0.3937007874015748" top="0.5905511811023623" bottom="0.3937007874015748" header="0.5118110236220472" footer="0.31496062992125984"/>
  <pageSetup fitToHeight="0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D185"/>
  <sheetViews>
    <sheetView showGridLines="0" view="pageBreakPreview" zoomScaleSheetLayoutView="100" zoomScalePageLayoutView="0" workbookViewId="0" topLeftCell="A177">
      <selection activeCell="B205" sqref="B205"/>
    </sheetView>
  </sheetViews>
  <sheetFormatPr defaultColWidth="9.140625" defaultRowHeight="12.75"/>
  <cols>
    <col min="1" max="1" width="21.28125" style="1" customWidth="1"/>
    <col min="2" max="2" width="55.57421875" style="1" customWidth="1"/>
    <col min="3" max="3" width="15.140625" style="1" customWidth="1"/>
    <col min="4" max="4" width="14.421875" style="1" bestFit="1" customWidth="1"/>
    <col min="5" max="16384" width="9.140625" style="1" customWidth="1"/>
  </cols>
  <sheetData>
    <row r="1" spans="1:3" ht="12.75">
      <c r="A1" s="496" t="s">
        <v>730</v>
      </c>
      <c r="B1" s="496"/>
      <c r="C1" s="496"/>
    </row>
    <row r="2" spans="1:3" ht="12.75">
      <c r="A2" s="496" t="s">
        <v>267</v>
      </c>
      <c r="B2" s="496"/>
      <c r="C2" s="496"/>
    </row>
    <row r="3" spans="1:3" ht="12.75">
      <c r="A3" s="494" t="s">
        <v>942</v>
      </c>
      <c r="B3" s="494"/>
      <c r="C3" s="494"/>
    </row>
    <row r="4" spans="1:3" ht="12.75">
      <c r="A4" s="497" t="s">
        <v>882</v>
      </c>
      <c r="B4" s="497"/>
      <c r="C4" s="497"/>
    </row>
    <row r="5" spans="1:3" ht="12.75">
      <c r="A5" s="59"/>
      <c r="B5" s="437"/>
      <c r="C5" s="59" t="s">
        <v>731</v>
      </c>
    </row>
    <row r="6" spans="1:3" ht="33.75">
      <c r="A6" s="362" t="s">
        <v>732</v>
      </c>
      <c r="B6" s="363" t="s">
        <v>73</v>
      </c>
      <c r="C6" s="183" t="s">
        <v>544</v>
      </c>
    </row>
    <row r="7" spans="1:3" ht="12.75">
      <c r="A7" s="364" t="s">
        <v>74</v>
      </c>
      <c r="B7" s="365">
        <v>2</v>
      </c>
      <c r="C7" s="182" t="s">
        <v>75</v>
      </c>
    </row>
    <row r="8" spans="1:4" ht="12.75">
      <c r="A8" s="366"/>
      <c r="B8" s="367" t="s">
        <v>545</v>
      </c>
      <c r="C8" s="541">
        <f>C9+C109</f>
        <v>527555001.8</v>
      </c>
      <c r="D8" s="439"/>
    </row>
    <row r="9" spans="1:4" ht="12.75">
      <c r="A9" s="368" t="s">
        <v>733</v>
      </c>
      <c r="B9" s="369" t="s">
        <v>734</v>
      </c>
      <c r="C9" s="181">
        <f>C10+C26+C38+C46+C51+C62+C68+C72+C79+C16+C106</f>
        <v>135516846</v>
      </c>
      <c r="D9" s="439"/>
    </row>
    <row r="10" spans="1:3" ht="12.75">
      <c r="A10" s="370" t="s">
        <v>735</v>
      </c>
      <c r="B10" s="371" t="s">
        <v>741</v>
      </c>
      <c r="C10" s="178">
        <f>C11</f>
        <v>93388399</v>
      </c>
    </row>
    <row r="11" spans="1:3" ht="12.75">
      <c r="A11" s="370" t="s">
        <v>742</v>
      </c>
      <c r="B11" s="371" t="s">
        <v>743</v>
      </c>
      <c r="C11" s="178">
        <f>SUM(C12:C15)</f>
        <v>93388399</v>
      </c>
    </row>
    <row r="12" spans="1:3" ht="63.75">
      <c r="A12" s="372" t="s">
        <v>744</v>
      </c>
      <c r="B12" s="359" t="s">
        <v>761</v>
      </c>
      <c r="C12" s="177">
        <f>92695884+12000</f>
        <v>92707884</v>
      </c>
    </row>
    <row r="13" spans="1:3" ht="102">
      <c r="A13" s="372" t="s">
        <v>745</v>
      </c>
      <c r="B13" s="359" t="s">
        <v>774</v>
      </c>
      <c r="C13" s="177">
        <v>43110</v>
      </c>
    </row>
    <row r="14" spans="1:3" ht="38.25">
      <c r="A14" s="372" t="s">
        <v>746</v>
      </c>
      <c r="B14" s="373" t="s">
        <v>747</v>
      </c>
      <c r="C14" s="177">
        <v>235879</v>
      </c>
    </row>
    <row r="15" spans="1:3" ht="89.25">
      <c r="A15" s="372" t="s">
        <v>823</v>
      </c>
      <c r="B15" s="373" t="s">
        <v>824</v>
      </c>
      <c r="C15" s="177">
        <v>401526</v>
      </c>
    </row>
    <row r="16" spans="1:3" ht="25.5">
      <c r="A16" s="370" t="s">
        <v>748</v>
      </c>
      <c r="B16" s="371" t="s">
        <v>493</v>
      </c>
      <c r="C16" s="178">
        <f>C17</f>
        <v>2924170</v>
      </c>
    </row>
    <row r="17" spans="1:4" ht="38.25" customHeight="1">
      <c r="A17" s="372" t="s">
        <v>813</v>
      </c>
      <c r="B17" s="440" t="s">
        <v>812</v>
      </c>
      <c r="C17" s="177">
        <f>C18+C20+C22+C24</f>
        <v>2924170</v>
      </c>
      <c r="D17" s="441"/>
    </row>
    <row r="18" spans="1:3" ht="63.75">
      <c r="A18" s="372" t="s">
        <v>494</v>
      </c>
      <c r="B18" s="419" t="s">
        <v>811</v>
      </c>
      <c r="C18" s="177">
        <f>C19</f>
        <v>1322110</v>
      </c>
    </row>
    <row r="19" spans="1:3" ht="102">
      <c r="A19" s="372" t="s">
        <v>346</v>
      </c>
      <c r="B19" s="419" t="s">
        <v>449</v>
      </c>
      <c r="C19" s="177">
        <v>1322110</v>
      </c>
    </row>
    <row r="20" spans="1:3" ht="76.5">
      <c r="A20" s="372" t="s">
        <v>495</v>
      </c>
      <c r="B20" s="442" t="s">
        <v>775</v>
      </c>
      <c r="C20" s="177">
        <f>C21</f>
        <v>7310</v>
      </c>
    </row>
    <row r="21" spans="1:3" ht="114.75">
      <c r="A21" s="372" t="s">
        <v>406</v>
      </c>
      <c r="B21" s="443" t="s">
        <v>450</v>
      </c>
      <c r="C21" s="177">
        <v>7310</v>
      </c>
    </row>
    <row r="22" spans="1:3" ht="63.75">
      <c r="A22" s="372" t="s">
        <v>448</v>
      </c>
      <c r="B22" s="359" t="s">
        <v>810</v>
      </c>
      <c r="C22" s="177">
        <f>C23</f>
        <v>1760530</v>
      </c>
    </row>
    <row r="23" spans="1:3" ht="102">
      <c r="A23" s="372" t="s">
        <v>407</v>
      </c>
      <c r="B23" s="444" t="s">
        <v>451</v>
      </c>
      <c r="C23" s="177">
        <v>1760530</v>
      </c>
    </row>
    <row r="24" spans="1:3" ht="63.75">
      <c r="A24" s="372" t="s">
        <v>200</v>
      </c>
      <c r="B24" s="373" t="s">
        <v>201</v>
      </c>
      <c r="C24" s="177">
        <f>C25</f>
        <v>-165780</v>
      </c>
    </row>
    <row r="25" spans="1:3" ht="102">
      <c r="A25" s="372" t="s">
        <v>195</v>
      </c>
      <c r="B25" s="373" t="s">
        <v>452</v>
      </c>
      <c r="C25" s="177">
        <v>-165780</v>
      </c>
    </row>
    <row r="26" spans="1:3" ht="12.75">
      <c r="A26" s="370" t="s">
        <v>202</v>
      </c>
      <c r="B26" s="371" t="s">
        <v>203</v>
      </c>
      <c r="C26" s="178">
        <f>C27+C32+C34+C36</f>
        <v>8484743</v>
      </c>
    </row>
    <row r="27" spans="1:3" ht="25.5">
      <c r="A27" s="372" t="s">
        <v>204</v>
      </c>
      <c r="B27" s="373" t="s">
        <v>205</v>
      </c>
      <c r="C27" s="179">
        <f>C28+C30</f>
        <v>1921449</v>
      </c>
    </row>
    <row r="28" spans="1:3" ht="25.5">
      <c r="A28" s="372" t="s">
        <v>206</v>
      </c>
      <c r="B28" s="373" t="s">
        <v>207</v>
      </c>
      <c r="C28" s="179">
        <f>C29</f>
        <v>860809</v>
      </c>
    </row>
    <row r="29" spans="1:3" ht="25.5">
      <c r="A29" s="372" t="s">
        <v>208</v>
      </c>
      <c r="B29" s="373" t="s">
        <v>207</v>
      </c>
      <c r="C29" s="177">
        <v>860809</v>
      </c>
    </row>
    <row r="30" spans="1:3" ht="38.25">
      <c r="A30" s="372" t="s">
        <v>209</v>
      </c>
      <c r="B30" s="373" t="s">
        <v>240</v>
      </c>
      <c r="C30" s="179">
        <f>C31</f>
        <v>1060640</v>
      </c>
    </row>
    <row r="31" spans="1:3" ht="51">
      <c r="A31" s="372" t="s">
        <v>241</v>
      </c>
      <c r="B31" s="373" t="s">
        <v>242</v>
      </c>
      <c r="C31" s="177">
        <v>1060640</v>
      </c>
    </row>
    <row r="32" spans="1:3" ht="25.5">
      <c r="A32" s="372" t="s">
        <v>243</v>
      </c>
      <c r="B32" s="373" t="s">
        <v>408</v>
      </c>
      <c r="C32" s="179">
        <f>C33</f>
        <v>0</v>
      </c>
    </row>
    <row r="33" spans="1:3" ht="25.5">
      <c r="A33" s="372" t="s">
        <v>409</v>
      </c>
      <c r="B33" s="373" t="s">
        <v>408</v>
      </c>
      <c r="C33" s="177">
        <v>0</v>
      </c>
    </row>
    <row r="34" spans="1:3" ht="12.75">
      <c r="A34" s="372" t="s">
        <v>410</v>
      </c>
      <c r="B34" s="373" t="s">
        <v>411</v>
      </c>
      <c r="C34" s="179">
        <f>SUM(C35:C35)</f>
        <v>2804166</v>
      </c>
    </row>
    <row r="35" spans="1:3" ht="12.75">
      <c r="A35" s="372" t="s">
        <v>622</v>
      </c>
      <c r="B35" s="373" t="s">
        <v>623</v>
      </c>
      <c r="C35" s="177">
        <v>2804166</v>
      </c>
    </row>
    <row r="36" spans="1:3" ht="25.5">
      <c r="A36" s="372" t="s">
        <v>552</v>
      </c>
      <c r="B36" s="373" t="s">
        <v>553</v>
      </c>
      <c r="C36" s="177">
        <f>C37</f>
        <v>3759128</v>
      </c>
    </row>
    <row r="37" spans="1:3" ht="38.25">
      <c r="A37" s="372" t="s">
        <v>554</v>
      </c>
      <c r="B37" s="373" t="s">
        <v>555</v>
      </c>
      <c r="C37" s="177">
        <v>3759128</v>
      </c>
    </row>
    <row r="38" spans="1:3" ht="12.75">
      <c r="A38" s="370" t="s">
        <v>624</v>
      </c>
      <c r="B38" s="371" t="s">
        <v>625</v>
      </c>
      <c r="C38" s="178">
        <f>C39+C41</f>
        <v>15122855</v>
      </c>
    </row>
    <row r="39" spans="1:3" ht="12.75">
      <c r="A39" s="372" t="s">
        <v>626</v>
      </c>
      <c r="B39" s="373" t="s">
        <v>627</v>
      </c>
      <c r="C39" s="179">
        <f>C40</f>
        <v>4584028</v>
      </c>
    </row>
    <row r="40" spans="1:3" ht="38.25">
      <c r="A40" s="372" t="s">
        <v>628</v>
      </c>
      <c r="B40" s="373" t="s">
        <v>419</v>
      </c>
      <c r="C40" s="177">
        <v>4584028</v>
      </c>
    </row>
    <row r="41" spans="1:3" ht="12.75">
      <c r="A41" s="372" t="s">
        <v>420</v>
      </c>
      <c r="B41" s="373" t="s">
        <v>421</v>
      </c>
      <c r="C41" s="180">
        <f>C42+C44</f>
        <v>10538827</v>
      </c>
    </row>
    <row r="42" spans="1:3" ht="12.75">
      <c r="A42" s="372" t="s">
        <v>422</v>
      </c>
      <c r="B42" s="373" t="s">
        <v>423</v>
      </c>
      <c r="C42" s="179">
        <f>C43</f>
        <v>7259355</v>
      </c>
    </row>
    <row r="43" spans="1:3" ht="25.5">
      <c r="A43" s="372" t="s">
        <v>424</v>
      </c>
      <c r="B43" s="373" t="s">
        <v>425</v>
      </c>
      <c r="C43" s="177">
        <v>7259355</v>
      </c>
    </row>
    <row r="44" spans="1:3" ht="12.75">
      <c r="A44" s="372" t="s">
        <v>426</v>
      </c>
      <c r="B44" s="373" t="s">
        <v>427</v>
      </c>
      <c r="C44" s="179">
        <f>C45</f>
        <v>3279472</v>
      </c>
    </row>
    <row r="45" spans="1:3" ht="38.25">
      <c r="A45" s="372" t="s">
        <v>428</v>
      </c>
      <c r="B45" s="373" t="s">
        <v>429</v>
      </c>
      <c r="C45" s="177">
        <v>3279472</v>
      </c>
    </row>
    <row r="46" spans="1:3" ht="12.75">
      <c r="A46" s="370" t="s">
        <v>430</v>
      </c>
      <c r="B46" s="371" t="s">
        <v>431</v>
      </c>
      <c r="C46" s="178">
        <f>C47+C49</f>
        <v>4156286</v>
      </c>
    </row>
    <row r="47" spans="1:3" ht="25.5">
      <c r="A47" s="372" t="s">
        <v>432</v>
      </c>
      <c r="B47" s="373" t="s">
        <v>433</v>
      </c>
      <c r="C47" s="179">
        <f>C48</f>
        <v>4146286</v>
      </c>
    </row>
    <row r="48" spans="1:3" ht="38.25">
      <c r="A48" s="372" t="s">
        <v>434</v>
      </c>
      <c r="B48" s="373" t="s">
        <v>435</v>
      </c>
      <c r="C48" s="177">
        <v>4146286</v>
      </c>
    </row>
    <row r="49" spans="1:3" ht="38.25">
      <c r="A49" s="372" t="s">
        <v>825</v>
      </c>
      <c r="B49" s="373" t="s">
        <v>826</v>
      </c>
      <c r="C49" s="177">
        <f>C50</f>
        <v>10000</v>
      </c>
    </row>
    <row r="50" spans="1:3" ht="25.5">
      <c r="A50" s="372" t="s">
        <v>162</v>
      </c>
      <c r="B50" s="373" t="s">
        <v>163</v>
      </c>
      <c r="C50" s="177">
        <v>10000</v>
      </c>
    </row>
    <row r="51" spans="1:3" ht="38.25">
      <c r="A51" s="370" t="s">
        <v>436</v>
      </c>
      <c r="B51" s="371" t="s">
        <v>437</v>
      </c>
      <c r="C51" s="178">
        <f>C52+C57+C59</f>
        <v>3369571</v>
      </c>
    </row>
    <row r="52" spans="1:3" ht="76.5">
      <c r="A52" s="372" t="s">
        <v>438</v>
      </c>
      <c r="B52" s="359" t="s">
        <v>776</v>
      </c>
      <c r="C52" s="179">
        <f>C53+C55</f>
        <v>2052571</v>
      </c>
    </row>
    <row r="53" spans="1:3" ht="63.75">
      <c r="A53" s="372" t="s">
        <v>439</v>
      </c>
      <c r="B53" s="373" t="s">
        <v>280</v>
      </c>
      <c r="C53" s="179">
        <f>C54</f>
        <v>942558</v>
      </c>
    </row>
    <row r="54" spans="1:3" ht="63.75">
      <c r="A54" s="372" t="s">
        <v>604</v>
      </c>
      <c r="B54" s="373" t="s">
        <v>412</v>
      </c>
      <c r="C54" s="177">
        <v>942558</v>
      </c>
    </row>
    <row r="55" spans="1:3" ht="38.25">
      <c r="A55" s="372" t="s">
        <v>605</v>
      </c>
      <c r="B55" s="373" t="s">
        <v>382</v>
      </c>
      <c r="C55" s="179">
        <f>C56</f>
        <v>1110013</v>
      </c>
    </row>
    <row r="56" spans="1:3" ht="38.25">
      <c r="A56" s="372" t="s">
        <v>383</v>
      </c>
      <c r="B56" s="373" t="s">
        <v>444</v>
      </c>
      <c r="C56" s="177">
        <f>1110013</f>
        <v>1110013</v>
      </c>
    </row>
    <row r="57" spans="1:3" ht="25.5">
      <c r="A57" s="372" t="s">
        <v>445</v>
      </c>
      <c r="B57" s="373" t="s">
        <v>660</v>
      </c>
      <c r="C57" s="179">
        <f>C58</f>
        <v>187500</v>
      </c>
    </row>
    <row r="58" spans="1:3" ht="51">
      <c r="A58" s="372" t="s">
        <v>661</v>
      </c>
      <c r="B58" s="373" t="s">
        <v>662</v>
      </c>
      <c r="C58" s="177">
        <v>187500</v>
      </c>
    </row>
    <row r="59" spans="1:3" ht="76.5">
      <c r="A59" s="372" t="s">
        <v>663</v>
      </c>
      <c r="B59" s="359" t="s">
        <v>359</v>
      </c>
      <c r="C59" s="179">
        <f>C60</f>
        <v>1129500</v>
      </c>
    </row>
    <row r="60" spans="1:3" ht="76.5">
      <c r="A60" s="372" t="s">
        <v>664</v>
      </c>
      <c r="B60" s="359" t="s">
        <v>360</v>
      </c>
      <c r="C60" s="179">
        <f>C61</f>
        <v>1129500</v>
      </c>
    </row>
    <row r="61" spans="1:3" ht="76.5">
      <c r="A61" s="372" t="s">
        <v>665</v>
      </c>
      <c r="B61" s="373" t="s">
        <v>666</v>
      </c>
      <c r="C61" s="177">
        <f>1317000-187500</f>
        <v>1129500</v>
      </c>
    </row>
    <row r="62" spans="1:3" ht="25.5">
      <c r="A62" s="370" t="s">
        <v>667</v>
      </c>
      <c r="B62" s="371" t="s">
        <v>668</v>
      </c>
      <c r="C62" s="178">
        <f>C63</f>
        <v>43300</v>
      </c>
    </row>
    <row r="63" spans="1:3" ht="12.75">
      <c r="A63" s="372" t="s">
        <v>669</v>
      </c>
      <c r="B63" s="60" t="s">
        <v>670</v>
      </c>
      <c r="C63" s="179">
        <f>SUM(C64:C66)</f>
        <v>43300</v>
      </c>
    </row>
    <row r="64" spans="1:3" ht="25.5">
      <c r="A64" s="372" t="s">
        <v>671</v>
      </c>
      <c r="B64" s="60" t="s">
        <v>616</v>
      </c>
      <c r="C64" s="177">
        <v>40000</v>
      </c>
    </row>
    <row r="65" spans="1:3" ht="12.75">
      <c r="A65" s="372" t="s">
        <v>617</v>
      </c>
      <c r="B65" s="60" t="s">
        <v>618</v>
      </c>
      <c r="C65" s="177">
        <v>3300</v>
      </c>
    </row>
    <row r="66" spans="1:3" ht="12.75">
      <c r="A66" s="372" t="s">
        <v>827</v>
      </c>
      <c r="B66" s="60" t="s">
        <v>828</v>
      </c>
      <c r="C66" s="177">
        <f>C67</f>
        <v>0</v>
      </c>
    </row>
    <row r="67" spans="1:3" ht="12.75">
      <c r="A67" s="372" t="s">
        <v>829</v>
      </c>
      <c r="B67" s="60" t="s">
        <v>830</v>
      </c>
      <c r="C67" s="177"/>
    </row>
    <row r="68" spans="1:3" ht="25.5">
      <c r="A68" s="370" t="s">
        <v>619</v>
      </c>
      <c r="B68" s="371" t="s">
        <v>577</v>
      </c>
      <c r="C68" s="178">
        <f>C70</f>
        <v>7382304</v>
      </c>
    </row>
    <row r="69" spans="1:3" ht="12.75">
      <c r="A69" s="372" t="s">
        <v>809</v>
      </c>
      <c r="B69" s="1" t="s">
        <v>808</v>
      </c>
      <c r="C69" s="177">
        <f>C70</f>
        <v>7382304</v>
      </c>
    </row>
    <row r="70" spans="1:3" ht="12.75">
      <c r="A70" s="372" t="s">
        <v>620</v>
      </c>
      <c r="B70" s="1" t="s">
        <v>831</v>
      </c>
      <c r="C70" s="179">
        <f>C71</f>
        <v>7382304</v>
      </c>
    </row>
    <row r="71" spans="1:3" ht="25.5">
      <c r="A71" s="372" t="s">
        <v>210</v>
      </c>
      <c r="B71" s="60" t="s">
        <v>621</v>
      </c>
      <c r="C71" s="177">
        <v>7382304</v>
      </c>
    </row>
    <row r="72" spans="1:4" ht="25.5">
      <c r="A72" s="370" t="s">
        <v>211</v>
      </c>
      <c r="B72" s="421" t="s">
        <v>212</v>
      </c>
      <c r="C72" s="178">
        <f>C76+C73</f>
        <v>300000</v>
      </c>
      <c r="D72" s="439"/>
    </row>
    <row r="73" spans="1:4" ht="76.5">
      <c r="A73" s="445" t="s">
        <v>832</v>
      </c>
      <c r="B73" s="60" t="s">
        <v>833</v>
      </c>
      <c r="C73" s="179">
        <f>C74</f>
        <v>0</v>
      </c>
      <c r="D73" s="439"/>
    </row>
    <row r="74" spans="1:4" ht="89.25">
      <c r="A74" s="372" t="s">
        <v>834</v>
      </c>
      <c r="B74" s="60" t="s">
        <v>835</v>
      </c>
      <c r="C74" s="179">
        <f>C75</f>
        <v>0</v>
      </c>
      <c r="D74" s="439"/>
    </row>
    <row r="75" spans="1:4" ht="76.5">
      <c r="A75" s="372" t="s">
        <v>4</v>
      </c>
      <c r="B75" s="60" t="s">
        <v>836</v>
      </c>
      <c r="C75" s="177"/>
      <c r="D75" s="439"/>
    </row>
    <row r="76" spans="1:4" ht="25.5">
      <c r="A76" s="445" t="s">
        <v>213</v>
      </c>
      <c r="B76" s="60" t="s">
        <v>214</v>
      </c>
      <c r="C76" s="179">
        <f>C77</f>
        <v>300000</v>
      </c>
      <c r="D76" s="439"/>
    </row>
    <row r="77" spans="1:4" ht="25.5">
      <c r="A77" s="372" t="s">
        <v>215</v>
      </c>
      <c r="B77" s="60" t="s">
        <v>216</v>
      </c>
      <c r="C77" s="179">
        <f>C78</f>
        <v>300000</v>
      </c>
      <c r="D77" s="439"/>
    </row>
    <row r="78" spans="1:4" ht="38.25">
      <c r="A78" s="372" t="s">
        <v>217</v>
      </c>
      <c r="B78" s="60" t="s">
        <v>179</v>
      </c>
      <c r="C78" s="177">
        <v>300000</v>
      </c>
      <c r="D78" s="439"/>
    </row>
    <row r="79" spans="1:4" ht="12.75">
      <c r="A79" s="420" t="s">
        <v>180</v>
      </c>
      <c r="B79" s="421" t="s">
        <v>339</v>
      </c>
      <c r="C79" s="178">
        <f>C80+C82+C84+C86+C88+C90+C92+C94+C96+C98+C101+C104</f>
        <v>345218</v>
      </c>
      <c r="D79" s="439"/>
    </row>
    <row r="80" spans="1:4" ht="51">
      <c r="A80" s="136" t="s">
        <v>807</v>
      </c>
      <c r="B80" s="422" t="s">
        <v>806</v>
      </c>
      <c r="C80" s="177">
        <f>C81</f>
        <v>6400</v>
      </c>
      <c r="D80" s="439"/>
    </row>
    <row r="81" spans="1:4" ht="76.5">
      <c r="A81" s="136" t="s">
        <v>679</v>
      </c>
      <c r="B81" s="375" t="s">
        <v>680</v>
      </c>
      <c r="C81" s="177">
        <v>6400</v>
      </c>
      <c r="D81" s="439"/>
    </row>
    <row r="82" spans="1:4" ht="63.75">
      <c r="A82" s="136" t="s">
        <v>805</v>
      </c>
      <c r="B82" s="423" t="s">
        <v>804</v>
      </c>
      <c r="C82" s="177">
        <f>C83</f>
        <v>28463</v>
      </c>
      <c r="D82" s="439"/>
    </row>
    <row r="83" spans="1:4" ht="89.25">
      <c r="A83" s="136" t="s">
        <v>681</v>
      </c>
      <c r="B83" s="375" t="s">
        <v>682</v>
      </c>
      <c r="C83" s="177">
        <v>28463</v>
      </c>
      <c r="D83" s="439"/>
    </row>
    <row r="84" spans="1:4" ht="51">
      <c r="A84" s="136" t="s">
        <v>837</v>
      </c>
      <c r="B84" s="375" t="s">
        <v>838</v>
      </c>
      <c r="C84" s="175">
        <f>C85</f>
        <v>2510</v>
      </c>
      <c r="D84" s="439"/>
    </row>
    <row r="85" spans="1:4" ht="76.5">
      <c r="A85" s="136" t="s">
        <v>839</v>
      </c>
      <c r="B85" s="375" t="s">
        <v>840</v>
      </c>
      <c r="C85" s="175">
        <v>2510</v>
      </c>
      <c r="D85" s="439"/>
    </row>
    <row r="86" spans="1:4" ht="51">
      <c r="A86" s="136" t="s">
        <v>841</v>
      </c>
      <c r="B86" s="375" t="s">
        <v>842</v>
      </c>
      <c r="C86" s="175">
        <f>C87</f>
        <v>1500</v>
      </c>
      <c r="D86" s="439"/>
    </row>
    <row r="87" spans="1:4" ht="76.5">
      <c r="A87" s="136" t="s">
        <v>843</v>
      </c>
      <c r="B87" s="375" t="s">
        <v>844</v>
      </c>
      <c r="C87" s="175">
        <v>1500</v>
      </c>
      <c r="D87" s="439"/>
    </row>
    <row r="88" spans="1:4" ht="51">
      <c r="A88" s="136" t="s">
        <v>845</v>
      </c>
      <c r="B88" s="375" t="s">
        <v>846</v>
      </c>
      <c r="C88" s="175">
        <f>C89</f>
        <v>6000</v>
      </c>
      <c r="D88" s="439"/>
    </row>
    <row r="89" spans="1:4" ht="76.5">
      <c r="A89" s="136" t="s">
        <v>847</v>
      </c>
      <c r="B89" s="375" t="s">
        <v>848</v>
      </c>
      <c r="C89" s="175">
        <v>6000</v>
      </c>
      <c r="D89" s="439"/>
    </row>
    <row r="90" spans="1:4" ht="63.75">
      <c r="A90" s="136" t="s">
        <v>803</v>
      </c>
      <c r="B90" s="422" t="s">
        <v>802</v>
      </c>
      <c r="C90" s="175">
        <f>C91</f>
        <v>15500</v>
      </c>
      <c r="D90" s="439"/>
    </row>
    <row r="91" spans="1:3" ht="89.25">
      <c r="A91" s="136" t="s">
        <v>672</v>
      </c>
      <c r="B91" s="377" t="s">
        <v>673</v>
      </c>
      <c r="C91" s="173">
        <v>15500</v>
      </c>
    </row>
    <row r="92" spans="1:3" ht="63.75">
      <c r="A92" s="136" t="s">
        <v>801</v>
      </c>
      <c r="B92" s="423" t="s">
        <v>800</v>
      </c>
      <c r="C92" s="173">
        <f>C93</f>
        <v>16700</v>
      </c>
    </row>
    <row r="93" spans="1:3" ht="102">
      <c r="A93" s="136" t="s">
        <v>674</v>
      </c>
      <c r="B93" s="376" t="s">
        <v>675</v>
      </c>
      <c r="C93" s="176">
        <v>16700</v>
      </c>
    </row>
    <row r="94" spans="1:3" ht="51">
      <c r="A94" s="136" t="s">
        <v>799</v>
      </c>
      <c r="B94" s="423" t="s">
        <v>798</v>
      </c>
      <c r="C94" s="176">
        <f>C95</f>
        <v>22500</v>
      </c>
    </row>
    <row r="95" spans="1:3" ht="76.5">
      <c r="A95" s="136" t="s">
        <v>676</v>
      </c>
      <c r="B95" s="375" t="s">
        <v>677</v>
      </c>
      <c r="C95" s="175">
        <v>22500</v>
      </c>
    </row>
    <row r="96" spans="1:3" ht="63.75">
      <c r="A96" s="136" t="s">
        <v>797</v>
      </c>
      <c r="B96" s="422" t="s">
        <v>796</v>
      </c>
      <c r="C96" s="173">
        <f>C97</f>
        <v>107994</v>
      </c>
    </row>
    <row r="97" spans="1:3" ht="76.5">
      <c r="A97" s="136" t="s">
        <v>684</v>
      </c>
      <c r="B97" s="424" t="s">
        <v>685</v>
      </c>
      <c r="C97" s="174">
        <f>119994-12000</f>
        <v>107994</v>
      </c>
    </row>
    <row r="98" spans="1:3" ht="102">
      <c r="A98" s="136" t="s">
        <v>849</v>
      </c>
      <c r="B98" s="425" t="s">
        <v>795</v>
      </c>
      <c r="C98" s="173">
        <f>C99</f>
        <v>40000</v>
      </c>
    </row>
    <row r="99" spans="1:3" ht="76.5">
      <c r="A99" s="136" t="s">
        <v>794</v>
      </c>
      <c r="B99" s="97" t="s">
        <v>793</v>
      </c>
      <c r="C99" s="173">
        <f>C100</f>
        <v>40000</v>
      </c>
    </row>
    <row r="100" spans="1:3" ht="63.75">
      <c r="A100" s="136" t="s">
        <v>343</v>
      </c>
      <c r="B100" s="376" t="s">
        <v>344</v>
      </c>
      <c r="C100" s="174">
        <v>40000</v>
      </c>
    </row>
    <row r="101" spans="1:3" ht="63.75">
      <c r="A101" s="136" t="s">
        <v>850</v>
      </c>
      <c r="B101" s="376" t="s">
        <v>851</v>
      </c>
      <c r="C101" s="173">
        <f>C102+C103</f>
        <v>31627</v>
      </c>
    </row>
    <row r="102" spans="1:3" ht="63.75">
      <c r="A102" s="136" t="s">
        <v>678</v>
      </c>
      <c r="B102" s="376" t="s">
        <v>852</v>
      </c>
      <c r="C102" s="173">
        <v>28374</v>
      </c>
    </row>
    <row r="103" spans="1:3" ht="63.75">
      <c r="A103" s="136" t="s">
        <v>683</v>
      </c>
      <c r="B103" s="376" t="s">
        <v>853</v>
      </c>
      <c r="C103" s="173">
        <v>3253</v>
      </c>
    </row>
    <row r="104" spans="1:3" ht="12.75">
      <c r="A104" s="136" t="s">
        <v>854</v>
      </c>
      <c r="B104" s="376" t="s">
        <v>855</v>
      </c>
      <c r="C104" s="173">
        <f>C105</f>
        <v>66024</v>
      </c>
    </row>
    <row r="105" spans="1:3" ht="102">
      <c r="A105" s="136" t="s">
        <v>856</v>
      </c>
      <c r="B105" s="376" t="s">
        <v>857</v>
      </c>
      <c r="C105" s="173">
        <v>66024</v>
      </c>
    </row>
    <row r="106" spans="1:3" ht="12.75">
      <c r="A106" s="420" t="s">
        <v>379</v>
      </c>
      <c r="B106" s="446" t="s">
        <v>380</v>
      </c>
      <c r="C106" s="173">
        <f>C107</f>
        <v>0</v>
      </c>
    </row>
    <row r="107" spans="1:3" ht="12.75">
      <c r="A107" s="447" t="s">
        <v>858</v>
      </c>
      <c r="B107" s="448" t="s">
        <v>859</v>
      </c>
      <c r="C107" s="173">
        <f>C108</f>
        <v>0</v>
      </c>
    </row>
    <row r="108" spans="1:3" ht="12.75">
      <c r="A108" s="447" t="s">
        <v>70</v>
      </c>
      <c r="B108" s="448" t="s">
        <v>71</v>
      </c>
      <c r="C108" s="173"/>
    </row>
    <row r="109" spans="1:3" ht="12.75">
      <c r="A109" s="378" t="s">
        <v>397</v>
      </c>
      <c r="B109" s="52" t="s">
        <v>364</v>
      </c>
      <c r="C109" s="63">
        <f>C110+C185+C182</f>
        <v>392038155.8</v>
      </c>
    </row>
    <row r="110" spans="1:3" ht="25.5">
      <c r="A110" s="379" t="s">
        <v>398</v>
      </c>
      <c r="B110" s="53" t="s">
        <v>350</v>
      </c>
      <c r="C110" s="64">
        <f>C111+C118+C141+C181</f>
        <v>392038155.8</v>
      </c>
    </row>
    <row r="111" spans="1:3" ht="25.5">
      <c r="A111" s="379" t="s">
        <v>385</v>
      </c>
      <c r="B111" s="97" t="s">
        <v>413</v>
      </c>
      <c r="C111" s="64">
        <f>C112+C114+C116</f>
        <v>43970181</v>
      </c>
    </row>
    <row r="112" spans="1:3" ht="12.75">
      <c r="A112" s="54" t="s">
        <v>386</v>
      </c>
      <c r="B112" s="34" t="s">
        <v>505</v>
      </c>
      <c r="C112" s="65">
        <f>C113</f>
        <v>43970181</v>
      </c>
    </row>
    <row r="113" spans="1:3" ht="38.25">
      <c r="A113" s="54" t="s">
        <v>387</v>
      </c>
      <c r="B113" s="93" t="s">
        <v>506</v>
      </c>
      <c r="C113" s="66">
        <v>43970181</v>
      </c>
    </row>
    <row r="114" spans="1:3" ht="25.5" hidden="1">
      <c r="A114" s="54" t="s">
        <v>860</v>
      </c>
      <c r="B114" s="34" t="s">
        <v>861</v>
      </c>
      <c r="C114" s="65">
        <f>C115</f>
        <v>0</v>
      </c>
    </row>
    <row r="115" spans="1:3" ht="25.5" hidden="1">
      <c r="A115" s="54" t="s">
        <v>862</v>
      </c>
      <c r="B115" s="34" t="s">
        <v>863</v>
      </c>
      <c r="C115" s="65"/>
    </row>
    <row r="116" spans="1:3" ht="12.75" hidden="1">
      <c r="A116" s="54" t="s">
        <v>864</v>
      </c>
      <c r="B116" s="34" t="s">
        <v>865</v>
      </c>
      <c r="C116" s="65">
        <f>C117</f>
        <v>0</v>
      </c>
    </row>
    <row r="117" spans="1:3" ht="12.75" hidden="1">
      <c r="A117" s="54" t="s">
        <v>866</v>
      </c>
      <c r="B117" s="34" t="s">
        <v>867</v>
      </c>
      <c r="C117" s="65"/>
    </row>
    <row r="118" spans="1:3" ht="25.5">
      <c r="A118" s="380" t="s">
        <v>575</v>
      </c>
      <c r="B118" s="376" t="s">
        <v>414</v>
      </c>
      <c r="C118" s="64">
        <f>C119+C121+C133+C135+C127+C131+C129+C123+C125</f>
        <v>114278032.8</v>
      </c>
    </row>
    <row r="119" spans="1:3" ht="102">
      <c r="A119" s="136" t="s">
        <v>615</v>
      </c>
      <c r="B119" s="376" t="s">
        <v>353</v>
      </c>
      <c r="C119" s="66">
        <f>C120</f>
        <v>31409414.15</v>
      </c>
    </row>
    <row r="120" spans="1:3" ht="102">
      <c r="A120" s="374" t="s">
        <v>613</v>
      </c>
      <c r="B120" s="376" t="s">
        <v>614</v>
      </c>
      <c r="C120" s="66">
        <v>31409414.15</v>
      </c>
    </row>
    <row r="121" spans="1:3" ht="76.5">
      <c r="A121" s="374" t="s">
        <v>354</v>
      </c>
      <c r="B121" s="376" t="s">
        <v>355</v>
      </c>
      <c r="C121" s="66">
        <f>C122</f>
        <v>6371534.65</v>
      </c>
    </row>
    <row r="122" spans="1:3" ht="76.5">
      <c r="A122" s="374" t="s">
        <v>418</v>
      </c>
      <c r="B122" s="376" t="s">
        <v>417</v>
      </c>
      <c r="C122" s="66">
        <v>6371534.65</v>
      </c>
    </row>
    <row r="123" spans="1:3" ht="65.25" customHeight="1">
      <c r="A123" s="374" t="s">
        <v>146</v>
      </c>
      <c r="B123" s="376" t="s">
        <v>885</v>
      </c>
      <c r="C123" s="66">
        <f>C124</f>
        <v>3355086</v>
      </c>
    </row>
    <row r="124" spans="1:3" ht="76.5">
      <c r="A124" s="374" t="s">
        <v>148</v>
      </c>
      <c r="B124" s="376" t="s">
        <v>886</v>
      </c>
      <c r="C124" s="66">
        <v>3355086</v>
      </c>
    </row>
    <row r="125" spans="1:3" ht="39.75" customHeight="1">
      <c r="A125" s="374" t="s">
        <v>149</v>
      </c>
      <c r="B125" s="376" t="s">
        <v>883</v>
      </c>
      <c r="C125" s="66">
        <f>C126</f>
        <v>3795930</v>
      </c>
    </row>
    <row r="126" spans="1:3" ht="51">
      <c r="A126" s="374" t="s">
        <v>151</v>
      </c>
      <c r="B126" s="376" t="s">
        <v>884</v>
      </c>
      <c r="C126" s="66">
        <v>3795930</v>
      </c>
    </row>
    <row r="127" spans="1:3" ht="51">
      <c r="A127" s="136" t="s">
        <v>135</v>
      </c>
      <c r="B127" s="375" t="s">
        <v>136</v>
      </c>
      <c r="C127" s="66">
        <f>C128</f>
        <v>5484839</v>
      </c>
    </row>
    <row r="128" spans="1:3" ht="51">
      <c r="A128" s="136" t="s">
        <v>137</v>
      </c>
      <c r="B128" s="375" t="s">
        <v>138</v>
      </c>
      <c r="C128" s="66">
        <v>5484839</v>
      </c>
    </row>
    <row r="129" spans="1:3" ht="38.25" hidden="1">
      <c r="A129" s="136" t="s">
        <v>792</v>
      </c>
      <c r="B129" s="375" t="s">
        <v>791</v>
      </c>
      <c r="C129" s="66">
        <f>C130</f>
        <v>0</v>
      </c>
    </row>
    <row r="130" spans="1:3" ht="51" hidden="1">
      <c r="A130" s="136" t="s">
        <v>790</v>
      </c>
      <c r="B130" s="375" t="s">
        <v>789</v>
      </c>
      <c r="C130" s="66"/>
    </row>
    <row r="131" spans="1:3" ht="51" hidden="1">
      <c r="A131" s="136" t="s">
        <v>139</v>
      </c>
      <c r="B131" s="138" t="s">
        <v>140</v>
      </c>
      <c r="C131" s="66">
        <f>C132</f>
        <v>0</v>
      </c>
    </row>
    <row r="132" spans="1:3" ht="51" hidden="1">
      <c r="A132" s="136" t="s">
        <v>141</v>
      </c>
      <c r="B132" s="138" t="s">
        <v>142</v>
      </c>
      <c r="C132" s="66"/>
    </row>
    <row r="133" spans="1:3" ht="25.5">
      <c r="A133" s="374" t="s">
        <v>191</v>
      </c>
      <c r="B133" s="376" t="s">
        <v>192</v>
      </c>
      <c r="C133" s="95">
        <f>C134</f>
        <v>5255258</v>
      </c>
    </row>
    <row r="134" spans="1:3" ht="25.5">
      <c r="A134" s="374" t="s">
        <v>194</v>
      </c>
      <c r="B134" s="376" t="s">
        <v>193</v>
      </c>
      <c r="C134" s="115">
        <v>5255258</v>
      </c>
    </row>
    <row r="135" spans="1:3" ht="12.75">
      <c r="A135" s="381" t="s">
        <v>576</v>
      </c>
      <c r="B135" s="382" t="s">
        <v>228</v>
      </c>
      <c r="C135" s="66">
        <f>SUM(C136:C140)</f>
        <v>58605971</v>
      </c>
    </row>
    <row r="136" spans="1:3" ht="76.5">
      <c r="A136" s="381" t="s">
        <v>576</v>
      </c>
      <c r="B136" s="71" t="s">
        <v>229</v>
      </c>
      <c r="C136" s="66">
        <v>318065</v>
      </c>
    </row>
    <row r="137" spans="1:3" ht="51">
      <c r="A137" s="381" t="s">
        <v>576</v>
      </c>
      <c r="B137" s="381" t="s">
        <v>230</v>
      </c>
      <c r="C137" s="66">
        <v>993564</v>
      </c>
    </row>
    <row r="138" spans="1:3" ht="51">
      <c r="A138" s="381" t="s">
        <v>576</v>
      </c>
      <c r="B138" s="449" t="s">
        <v>143</v>
      </c>
      <c r="C138" s="66">
        <v>57294342</v>
      </c>
    </row>
    <row r="139" spans="1:3" ht="25.5">
      <c r="A139" s="381" t="s">
        <v>576</v>
      </c>
      <c r="B139" s="71" t="s">
        <v>788</v>
      </c>
      <c r="C139" s="66"/>
    </row>
    <row r="140" spans="1:3" ht="25.5">
      <c r="A140" s="381" t="s">
        <v>576</v>
      </c>
      <c r="B140" s="71" t="s">
        <v>231</v>
      </c>
      <c r="C140" s="66"/>
    </row>
    <row r="141" spans="1:3" ht="25.5">
      <c r="A141" s="379" t="s">
        <v>388</v>
      </c>
      <c r="B141" s="97" t="s">
        <v>415</v>
      </c>
      <c r="C141" s="64">
        <f>C142+C144+C150+C152+C156+C154+C148+C146</f>
        <v>233789942</v>
      </c>
    </row>
    <row r="142" spans="1:3" ht="51">
      <c r="A142" s="384" t="s">
        <v>389</v>
      </c>
      <c r="B142" s="34" t="s">
        <v>165</v>
      </c>
      <c r="C142" s="65">
        <f>C143</f>
        <v>125083</v>
      </c>
    </row>
    <row r="143" spans="1:3" ht="38.25">
      <c r="A143" s="384" t="s">
        <v>390</v>
      </c>
      <c r="B143" s="34" t="s">
        <v>292</v>
      </c>
      <c r="C143" s="66">
        <v>125083</v>
      </c>
    </row>
    <row r="144" spans="1:3" ht="38.25">
      <c r="A144" s="384" t="s">
        <v>391</v>
      </c>
      <c r="B144" s="34" t="s">
        <v>511</v>
      </c>
      <c r="C144" s="65">
        <f>C145</f>
        <v>5944009</v>
      </c>
    </row>
    <row r="145" spans="1:3" ht="38.25">
      <c r="A145" s="384" t="s">
        <v>392</v>
      </c>
      <c r="B145" s="93" t="s">
        <v>366</v>
      </c>
      <c r="C145" s="66">
        <v>5944009</v>
      </c>
    </row>
    <row r="146" spans="1:3" ht="51">
      <c r="A146" s="450" t="s">
        <v>887</v>
      </c>
      <c r="B146" s="93" t="s">
        <v>889</v>
      </c>
      <c r="C146" s="66">
        <f>C147</f>
        <v>4228092</v>
      </c>
    </row>
    <row r="147" spans="1:3" ht="51">
      <c r="A147" s="450" t="s">
        <v>888</v>
      </c>
      <c r="B147" s="93" t="s">
        <v>890</v>
      </c>
      <c r="C147" s="66">
        <v>4228092</v>
      </c>
    </row>
    <row r="148" spans="1:3" ht="51">
      <c r="A148" s="451" t="s">
        <v>868</v>
      </c>
      <c r="B148" s="93" t="s">
        <v>869</v>
      </c>
      <c r="C148" s="66">
        <f>C149</f>
        <v>41201</v>
      </c>
    </row>
    <row r="149" spans="1:3" ht="51">
      <c r="A149" s="384" t="s">
        <v>870</v>
      </c>
      <c r="B149" s="93" t="s">
        <v>871</v>
      </c>
      <c r="C149" s="66">
        <v>41201</v>
      </c>
    </row>
    <row r="150" spans="1:3" ht="38.25">
      <c r="A150" s="384" t="s">
        <v>500</v>
      </c>
      <c r="B150" s="34" t="s">
        <v>501</v>
      </c>
      <c r="C150" s="66">
        <f>C151</f>
        <v>43186977</v>
      </c>
    </row>
    <row r="151" spans="1:3" ht="38.25">
      <c r="A151" s="384" t="s">
        <v>502</v>
      </c>
      <c r="B151" s="34" t="s">
        <v>503</v>
      </c>
      <c r="C151" s="66">
        <f>5614307+37572670</f>
        <v>43186977</v>
      </c>
    </row>
    <row r="152" spans="1:3" ht="51">
      <c r="A152" s="452" t="s">
        <v>777</v>
      </c>
      <c r="B152" s="376" t="s">
        <v>778</v>
      </c>
      <c r="C152" s="66">
        <f>C153</f>
        <v>6562080</v>
      </c>
    </row>
    <row r="153" spans="1:3" ht="51">
      <c r="A153" s="136" t="s">
        <v>779</v>
      </c>
      <c r="B153" s="376" t="s">
        <v>159</v>
      </c>
      <c r="C153" s="66">
        <v>6562080</v>
      </c>
    </row>
    <row r="154" spans="1:3" ht="25.5" hidden="1">
      <c r="A154" s="136" t="s">
        <v>787</v>
      </c>
      <c r="B154" s="376" t="s">
        <v>786</v>
      </c>
      <c r="C154" s="66">
        <f>C155</f>
        <v>0</v>
      </c>
    </row>
    <row r="155" spans="1:3" ht="25.5" hidden="1">
      <c r="A155" s="136" t="s">
        <v>785</v>
      </c>
      <c r="B155" s="376" t="s">
        <v>784</v>
      </c>
      <c r="C155" s="66"/>
    </row>
    <row r="156" spans="1:3" ht="12.75">
      <c r="A156" s="453" t="s">
        <v>416</v>
      </c>
      <c r="B156" s="114" t="s">
        <v>367</v>
      </c>
      <c r="C156" s="65">
        <f>C157</f>
        <v>173702500</v>
      </c>
    </row>
    <row r="157" spans="1:3" ht="12.75">
      <c r="A157" s="384" t="s">
        <v>393</v>
      </c>
      <c r="B157" s="98" t="s">
        <v>85</v>
      </c>
      <c r="C157" s="65">
        <f>SUM(C158:C161)+SUM(C163:C165)+C168+C176</f>
        <v>173702500</v>
      </c>
    </row>
    <row r="158" spans="1:3" ht="89.25">
      <c r="A158" s="384" t="s">
        <v>393</v>
      </c>
      <c r="B158" s="34" t="s">
        <v>770</v>
      </c>
      <c r="C158" s="66">
        <v>334700</v>
      </c>
    </row>
    <row r="159" spans="1:3" ht="102">
      <c r="A159" s="384" t="s">
        <v>393</v>
      </c>
      <c r="B159" s="34" t="s">
        <v>720</v>
      </c>
      <c r="C159" s="66">
        <v>334700</v>
      </c>
    </row>
    <row r="160" spans="1:3" ht="89.25">
      <c r="A160" s="384" t="s">
        <v>393</v>
      </c>
      <c r="B160" s="34" t="s">
        <v>268</v>
      </c>
      <c r="C160" s="66">
        <v>334700</v>
      </c>
    </row>
    <row r="161" spans="1:3" ht="89.25">
      <c r="A161" s="384" t="s">
        <v>393</v>
      </c>
      <c r="B161" s="34" t="s">
        <v>72</v>
      </c>
      <c r="C161" s="65">
        <f>C162</f>
        <v>1004100</v>
      </c>
    </row>
    <row r="162" spans="1:3" ht="12.75">
      <c r="A162" s="54"/>
      <c r="B162" s="56" t="s">
        <v>368</v>
      </c>
      <c r="C162" s="66">
        <v>1004100</v>
      </c>
    </row>
    <row r="163" spans="1:3" ht="114.75">
      <c r="A163" s="384" t="s">
        <v>393</v>
      </c>
      <c r="B163" s="34" t="s">
        <v>396</v>
      </c>
      <c r="C163" s="66">
        <v>96274514</v>
      </c>
    </row>
    <row r="164" spans="1:3" ht="102">
      <c r="A164" s="384" t="s">
        <v>393</v>
      </c>
      <c r="B164" s="34" t="s">
        <v>172</v>
      </c>
      <c r="C164" s="66">
        <v>55488082</v>
      </c>
    </row>
    <row r="165" spans="1:3" ht="114.75">
      <c r="A165" s="384" t="s">
        <v>393</v>
      </c>
      <c r="B165" s="57" t="s">
        <v>603</v>
      </c>
      <c r="C165" s="65">
        <f>SUM(C166:C167)</f>
        <v>5352121</v>
      </c>
    </row>
    <row r="166" spans="1:3" ht="51">
      <c r="A166" s="54"/>
      <c r="B166" s="56" t="s">
        <v>326</v>
      </c>
      <c r="C166" s="66">
        <v>236023</v>
      </c>
    </row>
    <row r="167" spans="1:3" ht="25.5">
      <c r="A167" s="54"/>
      <c r="B167" s="56" t="s">
        <v>369</v>
      </c>
      <c r="C167" s="66">
        <v>5116098</v>
      </c>
    </row>
    <row r="168" spans="1:3" ht="76.5">
      <c r="A168" s="384" t="s">
        <v>393</v>
      </c>
      <c r="B168" s="34" t="s">
        <v>580</v>
      </c>
      <c r="C168" s="96">
        <f>SUM(C169:C175)</f>
        <v>13328013</v>
      </c>
    </row>
    <row r="169" spans="1:3" ht="38.25">
      <c r="A169" s="54"/>
      <c r="B169" s="56" t="s">
        <v>370</v>
      </c>
      <c r="C169" s="66"/>
    </row>
    <row r="170" spans="1:3" ht="25.5">
      <c r="A170" s="54"/>
      <c r="B170" s="56" t="s">
        <v>371</v>
      </c>
      <c r="C170" s="66">
        <v>7074641</v>
      </c>
    </row>
    <row r="171" spans="1:3" ht="63.75">
      <c r="A171" s="54"/>
      <c r="B171" s="56" t="s">
        <v>547</v>
      </c>
      <c r="C171" s="66">
        <v>265488</v>
      </c>
    </row>
    <row r="172" spans="1:3" ht="12.75">
      <c r="A172" s="54"/>
      <c r="B172" s="56" t="s">
        <v>548</v>
      </c>
      <c r="C172" s="66">
        <v>1707915</v>
      </c>
    </row>
    <row r="173" spans="1:3" ht="38.25">
      <c r="A173" s="54"/>
      <c r="B173" s="56" t="s">
        <v>549</v>
      </c>
      <c r="C173" s="66">
        <v>2342900</v>
      </c>
    </row>
    <row r="174" spans="1:3" ht="51">
      <c r="A174" s="384"/>
      <c r="B174" s="172" t="s">
        <v>0</v>
      </c>
      <c r="C174" s="66">
        <v>1094800</v>
      </c>
    </row>
    <row r="175" spans="1:3" ht="25.5">
      <c r="A175" s="384"/>
      <c r="B175" s="171" t="s">
        <v>504</v>
      </c>
      <c r="C175" s="66">
        <v>842269</v>
      </c>
    </row>
    <row r="176" spans="1:3" ht="76.5">
      <c r="A176" s="384" t="s">
        <v>393</v>
      </c>
      <c r="B176" s="57" t="s">
        <v>581</v>
      </c>
      <c r="C176" s="66">
        <f>SUM(C177:C178)</f>
        <v>1251570</v>
      </c>
    </row>
    <row r="177" spans="1:3" ht="38.25">
      <c r="A177" s="54"/>
      <c r="B177" s="56" t="s">
        <v>582</v>
      </c>
      <c r="C177" s="66">
        <v>1084220</v>
      </c>
    </row>
    <row r="178" spans="1:3" ht="51">
      <c r="A178" s="116"/>
      <c r="B178" s="62" t="s">
        <v>583</v>
      </c>
      <c r="C178" s="67">
        <v>167350</v>
      </c>
    </row>
    <row r="179" spans="1:3" ht="12.75" hidden="1">
      <c r="A179" s="379" t="s">
        <v>1</v>
      </c>
      <c r="B179" s="454" t="s">
        <v>2</v>
      </c>
      <c r="C179" s="67">
        <f>C180</f>
        <v>0</v>
      </c>
    </row>
    <row r="180" spans="1:3" ht="63.75" hidden="1">
      <c r="A180" s="381" t="s">
        <v>509</v>
      </c>
      <c r="B180" s="97" t="s">
        <v>510</v>
      </c>
      <c r="C180" s="67">
        <f>C181</f>
        <v>0</v>
      </c>
    </row>
    <row r="181" spans="1:3" ht="63.75" hidden="1">
      <c r="A181" s="455" t="s">
        <v>507</v>
      </c>
      <c r="B181" s="376" t="s">
        <v>508</v>
      </c>
      <c r="C181" s="67"/>
    </row>
    <row r="182" spans="1:3" ht="12.75" hidden="1">
      <c r="A182" s="456" t="s">
        <v>3</v>
      </c>
      <c r="B182" s="457" t="s">
        <v>783</v>
      </c>
      <c r="C182" s="67">
        <f>C183</f>
        <v>0</v>
      </c>
    </row>
    <row r="183" spans="1:3" ht="25.5" hidden="1">
      <c r="A183" s="452" t="s">
        <v>782</v>
      </c>
      <c r="B183" s="57" t="s">
        <v>780</v>
      </c>
      <c r="C183" s="67">
        <f>C184</f>
        <v>0</v>
      </c>
    </row>
    <row r="184" spans="1:3" ht="25.5" hidden="1">
      <c r="A184" s="438" t="s">
        <v>781</v>
      </c>
      <c r="B184" s="170" t="s">
        <v>780</v>
      </c>
      <c r="C184" s="67"/>
    </row>
    <row r="185" spans="1:3" ht="39" hidden="1" thickBot="1">
      <c r="A185" s="456" t="s">
        <v>144</v>
      </c>
      <c r="B185" s="458" t="s">
        <v>145</v>
      </c>
      <c r="C185" s="67"/>
    </row>
  </sheetData>
  <sheetProtection/>
  <mergeCells count="4">
    <mergeCell ref="A1:C1"/>
    <mergeCell ref="A2:C2"/>
    <mergeCell ref="A3:C3"/>
    <mergeCell ref="A4:C4"/>
  </mergeCells>
  <hyperlinks>
    <hyperlink ref="B80" r:id="rId1" display="/document/12125267/entry/50"/>
    <hyperlink ref="B82" r:id="rId2" display="https://internet.garant.ru/#/document/12125267/entry/60"/>
    <hyperlink ref="B90" r:id="rId3" display="/document/12125267/entry/140"/>
    <hyperlink ref="B92" r:id="rId4" display="https://internet.garant.ru/#/document/12125267/entry/150"/>
    <hyperlink ref="B94" r:id="rId5" display="https://internet.garant.ru/#/document/12125267/entry/190"/>
    <hyperlink ref="B96" r:id="rId6" display="/document/12125267/entry/200"/>
  </hyperlink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D153"/>
  <sheetViews>
    <sheetView showGridLines="0" zoomScaleSheetLayoutView="100" zoomScalePageLayoutView="0" workbookViewId="0" topLeftCell="A150">
      <selection activeCell="C12" sqref="C12"/>
    </sheetView>
  </sheetViews>
  <sheetFormatPr defaultColWidth="9.140625" defaultRowHeight="12.75"/>
  <cols>
    <col min="1" max="1" width="21.28125" style="1" customWidth="1"/>
    <col min="2" max="2" width="53.421875" style="1" customWidth="1"/>
    <col min="3" max="3" width="14.28125" style="1" customWidth="1"/>
    <col min="4" max="4" width="13.7109375" style="1" customWidth="1"/>
    <col min="5" max="16384" width="9.140625" style="1" customWidth="1"/>
  </cols>
  <sheetData>
    <row r="1" spans="1:4" ht="12.75">
      <c r="A1" s="416"/>
      <c r="B1" s="416"/>
      <c r="C1" s="416"/>
      <c r="D1" s="416" t="s">
        <v>446</v>
      </c>
    </row>
    <row r="2" spans="1:4" ht="12.75">
      <c r="A2" s="416"/>
      <c r="B2" s="416"/>
      <c r="C2" s="416"/>
      <c r="D2" s="416" t="s">
        <v>267</v>
      </c>
    </row>
    <row r="3" spans="1:4" ht="12.75">
      <c r="A3" s="417"/>
      <c r="B3" s="494" t="s">
        <v>913</v>
      </c>
      <c r="C3" s="494"/>
      <c r="D3" s="494"/>
    </row>
    <row r="4" spans="1:4" ht="12.75">
      <c r="A4" s="360" t="s">
        <v>909</v>
      </c>
      <c r="B4" s="360"/>
      <c r="C4" s="360"/>
      <c r="D4" s="58"/>
    </row>
    <row r="5" spans="1:4" ht="12.75">
      <c r="A5" s="59"/>
      <c r="B5" s="361"/>
      <c r="C5" s="59"/>
      <c r="D5" s="59" t="s">
        <v>731</v>
      </c>
    </row>
    <row r="6" spans="1:4" ht="33.75">
      <c r="A6" s="362" t="s">
        <v>732</v>
      </c>
      <c r="B6" s="363" t="s">
        <v>73</v>
      </c>
      <c r="C6" s="183" t="s">
        <v>160</v>
      </c>
      <c r="D6" s="183" t="s">
        <v>891</v>
      </c>
    </row>
    <row r="7" spans="1:4" ht="12.75">
      <c r="A7" s="364" t="s">
        <v>74</v>
      </c>
      <c r="B7" s="365">
        <v>2</v>
      </c>
      <c r="C7" s="182" t="s">
        <v>75</v>
      </c>
      <c r="D7" s="182" t="s">
        <v>532</v>
      </c>
    </row>
    <row r="8" spans="1:4" ht="12.75">
      <c r="A8" s="366"/>
      <c r="B8" s="367" t="s">
        <v>545</v>
      </c>
      <c r="C8" s="541">
        <f>C9+C99</f>
        <v>413793852</v>
      </c>
      <c r="D8" s="541">
        <f>D9+D99</f>
        <v>419356242</v>
      </c>
    </row>
    <row r="9" spans="1:4" ht="12.75">
      <c r="A9" s="368" t="s">
        <v>733</v>
      </c>
      <c r="B9" s="369" t="s">
        <v>734</v>
      </c>
      <c r="C9" s="181">
        <f>C10+C26+C36+C44+C49+C60+C64+C68+C72+C16</f>
        <v>171493596</v>
      </c>
      <c r="D9" s="181">
        <f>D10+D26+D36+D44+D49+D60+D64+D68+D72+D16</f>
        <v>176057376</v>
      </c>
    </row>
    <row r="10" spans="1:4" ht="12.75">
      <c r="A10" s="370" t="s">
        <v>735</v>
      </c>
      <c r="B10" s="371" t="s">
        <v>741</v>
      </c>
      <c r="C10" s="178">
        <f>C11</f>
        <v>129136923</v>
      </c>
      <c r="D10" s="178">
        <f>D11</f>
        <v>133410584</v>
      </c>
    </row>
    <row r="11" spans="1:4" ht="12.75">
      <c r="A11" s="370" t="s">
        <v>742</v>
      </c>
      <c r="B11" s="371" t="s">
        <v>743</v>
      </c>
      <c r="C11" s="178">
        <f>SUM(C12:C15)</f>
        <v>129136923</v>
      </c>
      <c r="D11" s="178">
        <f>SUM(D12:D15)</f>
        <v>133410584</v>
      </c>
    </row>
    <row r="12" spans="1:4" ht="63.75">
      <c r="A12" s="372" t="s">
        <v>744</v>
      </c>
      <c r="B12" s="359" t="s">
        <v>761</v>
      </c>
      <c r="C12" s="177">
        <v>128228924</v>
      </c>
      <c r="D12" s="177">
        <v>132490543</v>
      </c>
    </row>
    <row r="13" spans="1:4" ht="102">
      <c r="A13" s="372" t="s">
        <v>745</v>
      </c>
      <c r="B13" s="359" t="s">
        <v>774</v>
      </c>
      <c r="C13" s="177">
        <v>59635</v>
      </c>
      <c r="D13" s="177">
        <v>61617</v>
      </c>
    </row>
    <row r="14" spans="1:4" ht="38.25">
      <c r="A14" s="372" t="s">
        <v>746</v>
      </c>
      <c r="B14" s="373" t="s">
        <v>747</v>
      </c>
      <c r="C14" s="177">
        <v>305523</v>
      </c>
      <c r="D14" s="177">
        <v>296132</v>
      </c>
    </row>
    <row r="15" spans="1:4" ht="89.25">
      <c r="A15" s="372" t="s">
        <v>823</v>
      </c>
      <c r="B15" s="373" t="s">
        <v>824</v>
      </c>
      <c r="C15" s="177">
        <v>542841</v>
      </c>
      <c r="D15" s="177">
        <v>562292</v>
      </c>
    </row>
    <row r="16" spans="1:4" ht="25.5">
      <c r="A16" s="370" t="s">
        <v>748</v>
      </c>
      <c r="B16" s="371" t="s">
        <v>493</v>
      </c>
      <c r="C16" s="178">
        <f>C17</f>
        <v>2927430</v>
      </c>
      <c r="D16" s="178">
        <f>D17</f>
        <v>2999680</v>
      </c>
    </row>
    <row r="17" spans="1:4" ht="25.5">
      <c r="A17" s="372" t="s">
        <v>813</v>
      </c>
      <c r="B17" s="418" t="s">
        <v>812</v>
      </c>
      <c r="C17" s="178">
        <f>C18+C20+C22+C24</f>
        <v>2927430</v>
      </c>
      <c r="D17" s="178">
        <f>D18+D20+D22+D24</f>
        <v>2999680</v>
      </c>
    </row>
    <row r="18" spans="1:4" ht="63.75">
      <c r="A18" s="372" t="s">
        <v>494</v>
      </c>
      <c r="B18" s="419" t="s">
        <v>811</v>
      </c>
      <c r="C18" s="177">
        <f>C19</f>
        <v>1309720</v>
      </c>
      <c r="D18" s="177">
        <f>D19</f>
        <v>1320720</v>
      </c>
    </row>
    <row r="19" spans="1:4" ht="102">
      <c r="A19" s="372" t="s">
        <v>346</v>
      </c>
      <c r="B19" s="359" t="s">
        <v>449</v>
      </c>
      <c r="C19" s="177">
        <v>1309720</v>
      </c>
      <c r="D19" s="177">
        <v>1320720</v>
      </c>
    </row>
    <row r="20" spans="1:4" ht="89.25">
      <c r="A20" s="372" t="s">
        <v>495</v>
      </c>
      <c r="B20" s="359" t="s">
        <v>775</v>
      </c>
      <c r="C20" s="177">
        <f>C21</f>
        <v>7340</v>
      </c>
      <c r="D20" s="177">
        <f>D21</f>
        <v>7630</v>
      </c>
    </row>
    <row r="21" spans="1:4" ht="114.75">
      <c r="A21" s="372" t="s">
        <v>406</v>
      </c>
      <c r="B21" s="359" t="s">
        <v>450</v>
      </c>
      <c r="C21" s="177">
        <v>7340</v>
      </c>
      <c r="D21" s="177">
        <v>7630</v>
      </c>
    </row>
    <row r="22" spans="1:4" ht="63.75">
      <c r="A22" s="372" t="s">
        <v>448</v>
      </c>
      <c r="B22" s="359" t="s">
        <v>810</v>
      </c>
      <c r="C22" s="177">
        <f>C23</f>
        <v>1772660</v>
      </c>
      <c r="D22" s="177">
        <f>D23</f>
        <v>1840820</v>
      </c>
    </row>
    <row r="23" spans="1:4" ht="102">
      <c r="A23" s="372" t="s">
        <v>407</v>
      </c>
      <c r="B23" s="373" t="s">
        <v>451</v>
      </c>
      <c r="C23" s="177">
        <v>1772660</v>
      </c>
      <c r="D23" s="177">
        <v>1840820</v>
      </c>
    </row>
    <row r="24" spans="1:4" ht="63.75">
      <c r="A24" s="372" t="s">
        <v>200</v>
      </c>
      <c r="B24" s="373" t="s">
        <v>201</v>
      </c>
      <c r="C24" s="177">
        <f>C25</f>
        <v>-162290</v>
      </c>
      <c r="D24" s="177">
        <f>D25</f>
        <v>-169490</v>
      </c>
    </row>
    <row r="25" spans="1:4" ht="102">
      <c r="A25" s="372" t="s">
        <v>195</v>
      </c>
      <c r="B25" s="373" t="s">
        <v>196</v>
      </c>
      <c r="C25" s="177">
        <v>-162290</v>
      </c>
      <c r="D25" s="177">
        <v>-169490</v>
      </c>
    </row>
    <row r="26" spans="1:4" ht="12.75">
      <c r="A26" s="370" t="s">
        <v>202</v>
      </c>
      <c r="B26" s="371" t="s">
        <v>203</v>
      </c>
      <c r="C26" s="178">
        <f>C27+C32+C34</f>
        <v>8654709</v>
      </c>
      <c r="D26" s="178">
        <f>D27+D32+D34</f>
        <v>8844578</v>
      </c>
    </row>
    <row r="27" spans="1:4" ht="25.5">
      <c r="A27" s="372" t="s">
        <v>204</v>
      </c>
      <c r="B27" s="373" t="s">
        <v>205</v>
      </c>
      <c r="C27" s="179">
        <f>C28+C30</f>
        <v>1984857</v>
      </c>
      <c r="D27" s="179">
        <f>D28+D30</f>
        <v>2058297</v>
      </c>
    </row>
    <row r="28" spans="1:4" ht="25.5">
      <c r="A28" s="372" t="s">
        <v>206</v>
      </c>
      <c r="B28" s="373" t="s">
        <v>207</v>
      </c>
      <c r="C28" s="179">
        <f>C29</f>
        <v>889216</v>
      </c>
      <c r="D28" s="179">
        <f>D29</f>
        <v>922117</v>
      </c>
    </row>
    <row r="29" spans="1:4" ht="25.5">
      <c r="A29" s="372" t="s">
        <v>208</v>
      </c>
      <c r="B29" s="373" t="s">
        <v>207</v>
      </c>
      <c r="C29" s="177">
        <v>889216</v>
      </c>
      <c r="D29" s="177">
        <v>922117</v>
      </c>
    </row>
    <row r="30" spans="1:4" ht="38.25">
      <c r="A30" s="372" t="s">
        <v>209</v>
      </c>
      <c r="B30" s="373" t="s">
        <v>240</v>
      </c>
      <c r="C30" s="179">
        <f>C31</f>
        <v>1095641</v>
      </c>
      <c r="D30" s="179">
        <f>D31</f>
        <v>1136180</v>
      </c>
    </row>
    <row r="31" spans="1:4" ht="63.75">
      <c r="A31" s="372" t="s">
        <v>241</v>
      </c>
      <c r="B31" s="373" t="s">
        <v>242</v>
      </c>
      <c r="C31" s="177">
        <v>1095641</v>
      </c>
      <c r="D31" s="177">
        <v>1136180</v>
      </c>
    </row>
    <row r="32" spans="1:4" ht="12.75">
      <c r="A32" s="372" t="s">
        <v>410</v>
      </c>
      <c r="B32" s="373" t="s">
        <v>411</v>
      </c>
      <c r="C32" s="179">
        <f>SUM(C33:C33)</f>
        <v>2910724</v>
      </c>
      <c r="D32" s="179">
        <f>SUM(D33:D33)</f>
        <v>3027153</v>
      </c>
    </row>
    <row r="33" spans="1:4" ht="12.75">
      <c r="A33" s="372" t="s">
        <v>622</v>
      </c>
      <c r="B33" s="373" t="s">
        <v>623</v>
      </c>
      <c r="C33" s="177">
        <v>2910724</v>
      </c>
      <c r="D33" s="177">
        <v>3027153</v>
      </c>
    </row>
    <row r="34" spans="1:4" ht="25.5">
      <c r="A34" s="372" t="s">
        <v>552</v>
      </c>
      <c r="B34" s="373" t="s">
        <v>553</v>
      </c>
      <c r="C34" s="177">
        <f>C35</f>
        <v>3759128</v>
      </c>
      <c r="D34" s="177">
        <f>D35</f>
        <v>3759128</v>
      </c>
    </row>
    <row r="35" spans="1:4" ht="38.25">
      <c r="A35" s="372" t="s">
        <v>554</v>
      </c>
      <c r="B35" s="373" t="s">
        <v>555</v>
      </c>
      <c r="C35" s="177">
        <v>3759128</v>
      </c>
      <c r="D35" s="177">
        <v>3759128</v>
      </c>
    </row>
    <row r="36" spans="1:4" ht="12.75">
      <c r="A36" s="370" t="s">
        <v>624</v>
      </c>
      <c r="B36" s="371" t="s">
        <v>625</v>
      </c>
      <c r="C36" s="178">
        <f>C37+C39</f>
        <v>15122855</v>
      </c>
      <c r="D36" s="178">
        <f>D37+D39</f>
        <v>15122855</v>
      </c>
    </row>
    <row r="37" spans="1:4" ht="12.75">
      <c r="A37" s="372" t="s">
        <v>626</v>
      </c>
      <c r="B37" s="373" t="s">
        <v>627</v>
      </c>
      <c r="C37" s="179">
        <f>C38</f>
        <v>4584028</v>
      </c>
      <c r="D37" s="179">
        <f>D38</f>
        <v>4584028</v>
      </c>
    </row>
    <row r="38" spans="1:4" ht="38.25">
      <c r="A38" s="372" t="s">
        <v>628</v>
      </c>
      <c r="B38" s="373" t="s">
        <v>419</v>
      </c>
      <c r="C38" s="177">
        <v>4584028</v>
      </c>
      <c r="D38" s="177">
        <v>4584028</v>
      </c>
    </row>
    <row r="39" spans="1:4" ht="12.75">
      <c r="A39" s="372" t="s">
        <v>420</v>
      </c>
      <c r="B39" s="373" t="s">
        <v>421</v>
      </c>
      <c r="C39" s="180">
        <f>C40+C42</f>
        <v>10538827</v>
      </c>
      <c r="D39" s="180">
        <f>D40+D42</f>
        <v>10538827</v>
      </c>
    </row>
    <row r="40" spans="1:4" ht="12.75">
      <c r="A40" s="372" t="s">
        <v>422</v>
      </c>
      <c r="B40" s="373" t="s">
        <v>423</v>
      </c>
      <c r="C40" s="179">
        <f>C41</f>
        <v>7259355</v>
      </c>
      <c r="D40" s="179">
        <f>D41</f>
        <v>7259355</v>
      </c>
    </row>
    <row r="41" spans="1:4" ht="25.5">
      <c r="A41" s="372" t="s">
        <v>424</v>
      </c>
      <c r="B41" s="373" t="s">
        <v>425</v>
      </c>
      <c r="C41" s="177">
        <v>7259355</v>
      </c>
      <c r="D41" s="177">
        <v>7259355</v>
      </c>
    </row>
    <row r="42" spans="1:4" ht="12.75">
      <c r="A42" s="372" t="s">
        <v>426</v>
      </c>
      <c r="B42" s="373" t="s">
        <v>427</v>
      </c>
      <c r="C42" s="179">
        <f>C43</f>
        <v>3279472</v>
      </c>
      <c r="D42" s="179">
        <f>D43</f>
        <v>3279472</v>
      </c>
    </row>
    <row r="43" spans="1:4" ht="38.25">
      <c r="A43" s="372" t="s">
        <v>428</v>
      </c>
      <c r="B43" s="373" t="s">
        <v>429</v>
      </c>
      <c r="C43" s="177">
        <v>3279472</v>
      </c>
      <c r="D43" s="177">
        <v>3279472</v>
      </c>
    </row>
    <row r="44" spans="1:4" ht="12.75">
      <c r="A44" s="370" t="s">
        <v>430</v>
      </c>
      <c r="B44" s="371" t="s">
        <v>431</v>
      </c>
      <c r="C44" s="178">
        <f>C45+C47</f>
        <v>4156286</v>
      </c>
      <c r="D44" s="178">
        <f>D45+D47</f>
        <v>4156286</v>
      </c>
    </row>
    <row r="45" spans="1:4" ht="25.5">
      <c r="A45" s="372" t="s">
        <v>432</v>
      </c>
      <c r="B45" s="373" t="s">
        <v>433</v>
      </c>
      <c r="C45" s="179">
        <f>C46</f>
        <v>4146286</v>
      </c>
      <c r="D45" s="179">
        <f>D46</f>
        <v>4146286</v>
      </c>
    </row>
    <row r="46" spans="1:4" ht="38.25">
      <c r="A46" s="372" t="s">
        <v>434</v>
      </c>
      <c r="B46" s="373" t="s">
        <v>435</v>
      </c>
      <c r="C46" s="177">
        <v>4146286</v>
      </c>
      <c r="D46" s="177">
        <v>4146286</v>
      </c>
    </row>
    <row r="47" spans="1:4" ht="38.25">
      <c r="A47" s="372" t="s">
        <v>825</v>
      </c>
      <c r="B47" s="373" t="s">
        <v>826</v>
      </c>
      <c r="C47" s="177">
        <f>C48</f>
        <v>10000</v>
      </c>
      <c r="D47" s="177">
        <f>D48</f>
        <v>10000</v>
      </c>
    </row>
    <row r="48" spans="1:4" ht="25.5">
      <c r="A48" s="372" t="s">
        <v>162</v>
      </c>
      <c r="B48" s="373" t="s">
        <v>163</v>
      </c>
      <c r="C48" s="177">
        <v>10000</v>
      </c>
      <c r="D48" s="177">
        <v>10000</v>
      </c>
    </row>
    <row r="49" spans="1:4" ht="38.25">
      <c r="A49" s="370" t="s">
        <v>436</v>
      </c>
      <c r="B49" s="371" t="s">
        <v>437</v>
      </c>
      <c r="C49" s="178">
        <f>C50+C55+C57</f>
        <v>3412571</v>
      </c>
      <c r="D49" s="178">
        <f>D50+D55+D57</f>
        <v>3440571</v>
      </c>
    </row>
    <row r="50" spans="1:4" ht="76.5">
      <c r="A50" s="372" t="s">
        <v>438</v>
      </c>
      <c r="B50" s="359" t="s">
        <v>776</v>
      </c>
      <c r="C50" s="179">
        <f>C51+C53</f>
        <v>2052571</v>
      </c>
      <c r="D50" s="179">
        <f>D51+D53</f>
        <v>2052571</v>
      </c>
    </row>
    <row r="51" spans="1:4" ht="63.75">
      <c r="A51" s="372" t="s">
        <v>439</v>
      </c>
      <c r="B51" s="373" t="s">
        <v>280</v>
      </c>
      <c r="C51" s="179">
        <f>C52</f>
        <v>942558</v>
      </c>
      <c r="D51" s="179">
        <f>D52</f>
        <v>942558</v>
      </c>
    </row>
    <row r="52" spans="1:4" ht="76.5">
      <c r="A52" s="372" t="s">
        <v>604</v>
      </c>
      <c r="B52" s="373" t="s">
        <v>412</v>
      </c>
      <c r="C52" s="177">
        <v>942558</v>
      </c>
      <c r="D52" s="177">
        <v>942558</v>
      </c>
    </row>
    <row r="53" spans="1:4" ht="38.25">
      <c r="A53" s="372" t="s">
        <v>605</v>
      </c>
      <c r="B53" s="373" t="s">
        <v>382</v>
      </c>
      <c r="C53" s="179">
        <f>C54</f>
        <v>1110013</v>
      </c>
      <c r="D53" s="179">
        <f>D54</f>
        <v>1110013</v>
      </c>
    </row>
    <row r="54" spans="1:4" ht="38.25">
      <c r="A54" s="372" t="s">
        <v>383</v>
      </c>
      <c r="B54" s="373" t="s">
        <v>444</v>
      </c>
      <c r="C54" s="177">
        <f>1110013</f>
        <v>1110013</v>
      </c>
      <c r="D54" s="177">
        <f>1110013</f>
        <v>1110013</v>
      </c>
    </row>
    <row r="55" spans="1:4" ht="25.5">
      <c r="A55" s="372" t="s">
        <v>445</v>
      </c>
      <c r="B55" s="373" t="s">
        <v>660</v>
      </c>
      <c r="C55" s="179">
        <f>C56</f>
        <v>187500</v>
      </c>
      <c r="D55" s="179">
        <f>D56</f>
        <v>187500</v>
      </c>
    </row>
    <row r="56" spans="1:4" ht="51">
      <c r="A56" s="372" t="s">
        <v>661</v>
      </c>
      <c r="B56" s="373" t="s">
        <v>662</v>
      </c>
      <c r="C56" s="177">
        <v>187500</v>
      </c>
      <c r="D56" s="177">
        <v>187500</v>
      </c>
    </row>
    <row r="57" spans="1:4" ht="76.5">
      <c r="A57" s="372" t="s">
        <v>663</v>
      </c>
      <c r="B57" s="359" t="s">
        <v>359</v>
      </c>
      <c r="C57" s="179">
        <f>C58</f>
        <v>1172500</v>
      </c>
      <c r="D57" s="179">
        <f>D58</f>
        <v>1200500</v>
      </c>
    </row>
    <row r="58" spans="1:4" ht="76.5">
      <c r="A58" s="372" t="s">
        <v>664</v>
      </c>
      <c r="B58" s="359" t="s">
        <v>360</v>
      </c>
      <c r="C58" s="179">
        <f>C59</f>
        <v>1172500</v>
      </c>
      <c r="D58" s="179">
        <f>D59</f>
        <v>1200500</v>
      </c>
    </row>
    <row r="59" spans="1:4" ht="76.5">
      <c r="A59" s="372" t="s">
        <v>665</v>
      </c>
      <c r="B59" s="373" t="s">
        <v>666</v>
      </c>
      <c r="C59" s="177">
        <f>1360000-187500</f>
        <v>1172500</v>
      </c>
      <c r="D59" s="177">
        <f>1388000-187500</f>
        <v>1200500</v>
      </c>
    </row>
    <row r="60" spans="1:4" ht="25.5">
      <c r="A60" s="370" t="s">
        <v>667</v>
      </c>
      <c r="B60" s="371" t="s">
        <v>668</v>
      </c>
      <c r="C60" s="178">
        <f>C61</f>
        <v>43300</v>
      </c>
      <c r="D60" s="178">
        <f>D61</f>
        <v>43300</v>
      </c>
    </row>
    <row r="61" spans="1:4" ht="12.75">
      <c r="A61" s="372" t="s">
        <v>669</v>
      </c>
      <c r="B61" s="60" t="s">
        <v>670</v>
      </c>
      <c r="C61" s="179">
        <f>SUM(C62:C63)</f>
        <v>43300</v>
      </c>
      <c r="D61" s="179">
        <f>SUM(D62:D63)</f>
        <v>43300</v>
      </c>
    </row>
    <row r="62" spans="1:4" ht="25.5">
      <c r="A62" s="372" t="s">
        <v>671</v>
      </c>
      <c r="B62" s="60" t="s">
        <v>616</v>
      </c>
      <c r="C62" s="177">
        <v>40000</v>
      </c>
      <c r="D62" s="177">
        <v>40000</v>
      </c>
    </row>
    <row r="63" spans="1:4" ht="25.5">
      <c r="A63" s="372" t="s">
        <v>617</v>
      </c>
      <c r="B63" s="60" t="s">
        <v>618</v>
      </c>
      <c r="C63" s="177">
        <v>3300</v>
      </c>
      <c r="D63" s="177">
        <v>3300</v>
      </c>
    </row>
    <row r="64" spans="1:4" ht="25.5">
      <c r="A64" s="370" t="s">
        <v>619</v>
      </c>
      <c r="B64" s="371" t="s">
        <v>577</v>
      </c>
      <c r="C64" s="178">
        <f>C66</f>
        <v>7382304</v>
      </c>
      <c r="D64" s="178">
        <f>D66</f>
        <v>7382304</v>
      </c>
    </row>
    <row r="65" spans="1:4" ht="12.75">
      <c r="A65" s="372" t="s">
        <v>809</v>
      </c>
      <c r="B65" s="1" t="s">
        <v>808</v>
      </c>
      <c r="C65" s="178"/>
      <c r="D65" s="178"/>
    </row>
    <row r="66" spans="1:4" ht="12.75">
      <c r="A66" s="372" t="s">
        <v>620</v>
      </c>
      <c r="B66" s="1" t="s">
        <v>831</v>
      </c>
      <c r="C66" s="179">
        <f>C67</f>
        <v>7382304</v>
      </c>
      <c r="D66" s="179">
        <f>D67</f>
        <v>7382304</v>
      </c>
    </row>
    <row r="67" spans="1:4" ht="25.5">
      <c r="A67" s="372" t="s">
        <v>210</v>
      </c>
      <c r="B67" s="60" t="s">
        <v>621</v>
      </c>
      <c r="C67" s="177">
        <v>7382304</v>
      </c>
      <c r="D67" s="177">
        <v>7382304</v>
      </c>
    </row>
    <row r="68" spans="1:4" ht="25.5">
      <c r="A68" s="370" t="s">
        <v>211</v>
      </c>
      <c r="B68" s="371" t="s">
        <v>212</v>
      </c>
      <c r="C68" s="178">
        <f aca="true" t="shared" si="0" ref="C68:D70">C69</f>
        <v>300000</v>
      </c>
      <c r="D68" s="178">
        <f t="shared" si="0"/>
        <v>300000</v>
      </c>
    </row>
    <row r="69" spans="1:4" ht="25.5">
      <c r="A69" s="372" t="s">
        <v>213</v>
      </c>
      <c r="B69" s="60" t="s">
        <v>214</v>
      </c>
      <c r="C69" s="179">
        <f t="shared" si="0"/>
        <v>300000</v>
      </c>
      <c r="D69" s="179">
        <f t="shared" si="0"/>
        <v>300000</v>
      </c>
    </row>
    <row r="70" spans="1:4" ht="25.5">
      <c r="A70" s="372" t="s">
        <v>215</v>
      </c>
      <c r="B70" s="60" t="s">
        <v>216</v>
      </c>
      <c r="C70" s="179">
        <f t="shared" si="0"/>
        <v>300000</v>
      </c>
      <c r="D70" s="179">
        <f t="shared" si="0"/>
        <v>300000</v>
      </c>
    </row>
    <row r="71" spans="1:4" ht="38.25">
      <c r="A71" s="372" t="s">
        <v>217</v>
      </c>
      <c r="B71" s="60" t="s">
        <v>179</v>
      </c>
      <c r="C71" s="177">
        <v>300000</v>
      </c>
      <c r="D71" s="177">
        <v>300000</v>
      </c>
    </row>
    <row r="72" spans="1:4" ht="12.75">
      <c r="A72" s="420" t="s">
        <v>180</v>
      </c>
      <c r="B72" s="421" t="s">
        <v>339</v>
      </c>
      <c r="C72" s="178">
        <f>C73+C75+C77+C79+C81+C83+C85+C87+C89+C91+C94+C97</f>
        <v>357218</v>
      </c>
      <c r="D72" s="178">
        <f>D73+D75+D77+D79+D81+D83+D85+D87+D89+D91+D94+D97</f>
        <v>357218</v>
      </c>
    </row>
    <row r="73" spans="1:4" ht="51">
      <c r="A73" s="136" t="s">
        <v>807</v>
      </c>
      <c r="B73" s="422" t="s">
        <v>806</v>
      </c>
      <c r="C73" s="177">
        <f>C74</f>
        <v>6400</v>
      </c>
      <c r="D73" s="177">
        <f>D74</f>
        <v>6400</v>
      </c>
    </row>
    <row r="74" spans="1:4" ht="76.5">
      <c r="A74" s="136" t="s">
        <v>679</v>
      </c>
      <c r="B74" s="375" t="s">
        <v>680</v>
      </c>
      <c r="C74" s="177">
        <v>6400</v>
      </c>
      <c r="D74" s="177">
        <v>6400</v>
      </c>
    </row>
    <row r="75" spans="1:4" ht="63.75">
      <c r="A75" s="136" t="s">
        <v>805</v>
      </c>
      <c r="B75" s="423" t="s">
        <v>804</v>
      </c>
      <c r="C75" s="177">
        <f>C76</f>
        <v>28463</v>
      </c>
      <c r="D75" s="177">
        <f>D76</f>
        <v>28463</v>
      </c>
    </row>
    <row r="76" spans="1:4" ht="89.25">
      <c r="A76" s="136" t="s">
        <v>681</v>
      </c>
      <c r="B76" s="375" t="s">
        <v>682</v>
      </c>
      <c r="C76" s="177">
        <v>28463</v>
      </c>
      <c r="D76" s="177">
        <v>28463</v>
      </c>
    </row>
    <row r="77" spans="1:4" ht="63.75">
      <c r="A77" s="136" t="s">
        <v>837</v>
      </c>
      <c r="B77" s="375" t="s">
        <v>838</v>
      </c>
      <c r="C77" s="175">
        <f>C78</f>
        <v>2510</v>
      </c>
      <c r="D77" s="175">
        <f>D78</f>
        <v>2510</v>
      </c>
    </row>
    <row r="78" spans="1:4" ht="89.25">
      <c r="A78" s="136" t="s">
        <v>839</v>
      </c>
      <c r="B78" s="375" t="s">
        <v>840</v>
      </c>
      <c r="C78" s="175">
        <v>2510</v>
      </c>
      <c r="D78" s="175">
        <v>2510</v>
      </c>
    </row>
    <row r="79" spans="1:4" ht="51">
      <c r="A79" s="136" t="s">
        <v>841</v>
      </c>
      <c r="B79" s="375" t="s">
        <v>842</v>
      </c>
      <c r="C79" s="175">
        <f>C80</f>
        <v>1500</v>
      </c>
      <c r="D79" s="175">
        <f>D80</f>
        <v>1500</v>
      </c>
    </row>
    <row r="80" spans="1:4" ht="76.5">
      <c r="A80" s="136" t="s">
        <v>843</v>
      </c>
      <c r="B80" s="375" t="s">
        <v>844</v>
      </c>
      <c r="C80" s="175">
        <v>1500</v>
      </c>
      <c r="D80" s="175">
        <v>1500</v>
      </c>
    </row>
    <row r="81" spans="1:4" ht="51">
      <c r="A81" s="136" t="s">
        <v>845</v>
      </c>
      <c r="B81" s="375" t="s">
        <v>846</v>
      </c>
      <c r="C81" s="175">
        <f>C82</f>
        <v>6000</v>
      </c>
      <c r="D81" s="175">
        <f>D82</f>
        <v>6000</v>
      </c>
    </row>
    <row r="82" spans="1:4" ht="76.5">
      <c r="A82" s="136" t="s">
        <v>847</v>
      </c>
      <c r="B82" s="375" t="s">
        <v>848</v>
      </c>
      <c r="C82" s="175">
        <v>6000</v>
      </c>
      <c r="D82" s="175">
        <v>6000</v>
      </c>
    </row>
    <row r="83" spans="1:4" ht="63.75">
      <c r="A83" s="136" t="s">
        <v>803</v>
      </c>
      <c r="B83" s="422" t="s">
        <v>802</v>
      </c>
      <c r="C83" s="175">
        <f>C84</f>
        <v>15500</v>
      </c>
      <c r="D83" s="175">
        <f>D84</f>
        <v>15500</v>
      </c>
    </row>
    <row r="84" spans="1:4" ht="89.25">
      <c r="A84" s="136" t="s">
        <v>672</v>
      </c>
      <c r="B84" s="377" t="s">
        <v>673</v>
      </c>
      <c r="C84" s="173">
        <v>15500</v>
      </c>
      <c r="D84" s="173">
        <v>15500</v>
      </c>
    </row>
    <row r="85" spans="1:4" ht="63.75">
      <c r="A85" s="136" t="s">
        <v>801</v>
      </c>
      <c r="B85" s="423" t="s">
        <v>800</v>
      </c>
      <c r="C85" s="173">
        <f>C86</f>
        <v>16700</v>
      </c>
      <c r="D85" s="173">
        <f>D86</f>
        <v>16700</v>
      </c>
    </row>
    <row r="86" spans="1:4" ht="102">
      <c r="A86" s="136" t="s">
        <v>674</v>
      </c>
      <c r="B86" s="376" t="s">
        <v>675</v>
      </c>
      <c r="C86" s="176">
        <v>16700</v>
      </c>
      <c r="D86" s="176">
        <v>16700</v>
      </c>
    </row>
    <row r="87" spans="1:4" ht="51">
      <c r="A87" s="136" t="s">
        <v>799</v>
      </c>
      <c r="B87" s="423" t="s">
        <v>798</v>
      </c>
      <c r="C87" s="176">
        <f>C88</f>
        <v>22500</v>
      </c>
      <c r="D87" s="176">
        <f>D88</f>
        <v>22500</v>
      </c>
    </row>
    <row r="88" spans="1:4" ht="76.5">
      <c r="A88" s="136" t="s">
        <v>676</v>
      </c>
      <c r="B88" s="375" t="s">
        <v>677</v>
      </c>
      <c r="C88" s="175">
        <v>22500</v>
      </c>
      <c r="D88" s="175">
        <v>22500</v>
      </c>
    </row>
    <row r="89" spans="1:4" ht="63.75">
      <c r="A89" s="136" t="s">
        <v>797</v>
      </c>
      <c r="B89" s="422" t="s">
        <v>796</v>
      </c>
      <c r="C89" s="173">
        <f>C90</f>
        <v>119994</v>
      </c>
      <c r="D89" s="173">
        <f>D90</f>
        <v>119994</v>
      </c>
    </row>
    <row r="90" spans="1:4" ht="89.25">
      <c r="A90" s="136" t="s">
        <v>684</v>
      </c>
      <c r="B90" s="424" t="s">
        <v>685</v>
      </c>
      <c r="C90" s="174">
        <f>119994</f>
        <v>119994</v>
      </c>
      <c r="D90" s="174">
        <f>119994</f>
        <v>119994</v>
      </c>
    </row>
    <row r="91" spans="1:4" ht="102">
      <c r="A91" s="136" t="s">
        <v>849</v>
      </c>
      <c r="B91" s="425" t="s">
        <v>795</v>
      </c>
      <c r="C91" s="173">
        <f>C92</f>
        <v>40000</v>
      </c>
      <c r="D91" s="173">
        <f>D92</f>
        <v>40000</v>
      </c>
    </row>
    <row r="92" spans="1:4" ht="76.5">
      <c r="A92" s="136" t="s">
        <v>794</v>
      </c>
      <c r="B92" s="97" t="s">
        <v>793</v>
      </c>
      <c r="C92" s="173">
        <f>C93</f>
        <v>40000</v>
      </c>
      <c r="D92" s="173">
        <f>D93</f>
        <v>40000</v>
      </c>
    </row>
    <row r="93" spans="1:4" ht="76.5">
      <c r="A93" s="136" t="s">
        <v>343</v>
      </c>
      <c r="B93" s="376" t="s">
        <v>344</v>
      </c>
      <c r="C93" s="174">
        <v>40000</v>
      </c>
      <c r="D93" s="174">
        <v>40000</v>
      </c>
    </row>
    <row r="94" spans="1:4" ht="63.75">
      <c r="A94" s="136" t="s">
        <v>850</v>
      </c>
      <c r="B94" s="376" t="s">
        <v>851</v>
      </c>
      <c r="C94" s="173">
        <f>C95+C96</f>
        <v>31627</v>
      </c>
      <c r="D94" s="173">
        <f>D95+D96</f>
        <v>31627</v>
      </c>
    </row>
    <row r="95" spans="1:4" ht="63.75">
      <c r="A95" s="136" t="s">
        <v>678</v>
      </c>
      <c r="B95" s="376" t="s">
        <v>852</v>
      </c>
      <c r="C95" s="173">
        <v>28374</v>
      </c>
      <c r="D95" s="173">
        <v>28374</v>
      </c>
    </row>
    <row r="96" spans="1:4" ht="63.75">
      <c r="A96" s="136" t="s">
        <v>683</v>
      </c>
      <c r="B96" s="376" t="s">
        <v>853</v>
      </c>
      <c r="C96" s="173">
        <v>3253</v>
      </c>
      <c r="D96" s="173">
        <v>3253</v>
      </c>
    </row>
    <row r="97" spans="1:4" ht="12.75">
      <c r="A97" s="136" t="s">
        <v>854</v>
      </c>
      <c r="B97" s="376" t="s">
        <v>855</v>
      </c>
      <c r="C97" s="173">
        <f>C98</f>
        <v>66024</v>
      </c>
      <c r="D97" s="173">
        <f>D98</f>
        <v>66024</v>
      </c>
    </row>
    <row r="98" spans="1:4" ht="102">
      <c r="A98" s="136" t="s">
        <v>856</v>
      </c>
      <c r="B98" s="376" t="s">
        <v>857</v>
      </c>
      <c r="C98" s="173">
        <v>66024</v>
      </c>
      <c r="D98" s="173">
        <v>66024</v>
      </c>
    </row>
    <row r="99" spans="1:4" ht="12.75">
      <c r="A99" s="378" t="s">
        <v>397</v>
      </c>
      <c r="B99" s="52" t="s">
        <v>364</v>
      </c>
      <c r="C99" s="63">
        <f>C100</f>
        <v>242300256</v>
      </c>
      <c r="D99" s="63">
        <f>D100</f>
        <v>243298866</v>
      </c>
    </row>
    <row r="100" spans="1:4" ht="25.5">
      <c r="A100" s="379" t="s">
        <v>398</v>
      </c>
      <c r="B100" s="53" t="s">
        <v>350</v>
      </c>
      <c r="C100" s="64">
        <f>C101+C104+C120</f>
        <v>242300256</v>
      </c>
      <c r="D100" s="64">
        <f>D101+D104+D120</f>
        <v>243298866</v>
      </c>
    </row>
    <row r="101" spans="1:4" ht="30.75" customHeight="1">
      <c r="A101" s="379" t="s">
        <v>385</v>
      </c>
      <c r="B101" s="97" t="s">
        <v>413</v>
      </c>
      <c r="C101" s="64">
        <f>C102</f>
        <v>583058</v>
      </c>
      <c r="D101" s="64">
        <f>D102</f>
        <v>1159405</v>
      </c>
    </row>
    <row r="102" spans="1:4" ht="12.75">
      <c r="A102" s="54" t="s">
        <v>386</v>
      </c>
      <c r="B102" s="34" t="s">
        <v>505</v>
      </c>
      <c r="C102" s="65">
        <f>C103</f>
        <v>583058</v>
      </c>
      <c r="D102" s="65">
        <f>D103</f>
        <v>1159405</v>
      </c>
    </row>
    <row r="103" spans="1:4" ht="38.25">
      <c r="A103" s="54" t="s">
        <v>387</v>
      </c>
      <c r="B103" s="93" t="s">
        <v>506</v>
      </c>
      <c r="C103" s="66">
        <v>583058</v>
      </c>
      <c r="D103" s="66">
        <v>1159405</v>
      </c>
    </row>
    <row r="104" spans="1:4" ht="25.5">
      <c r="A104" s="380" t="s">
        <v>575</v>
      </c>
      <c r="B104" s="489" t="s">
        <v>414</v>
      </c>
      <c r="C104" s="64">
        <f>C105+C107+C117+C111+C113+C109+C115</f>
        <v>6338177</v>
      </c>
      <c r="D104" s="64">
        <f>D105+D107+D117+D111+D113+D109+D115</f>
        <v>5820012</v>
      </c>
    </row>
    <row r="105" spans="1:4" ht="102" hidden="1">
      <c r="A105" s="136" t="s">
        <v>615</v>
      </c>
      <c r="B105" s="138" t="s">
        <v>353</v>
      </c>
      <c r="C105" s="66">
        <f>C106</f>
        <v>0</v>
      </c>
      <c r="D105" s="66"/>
    </row>
    <row r="106" spans="1:4" ht="102" hidden="1">
      <c r="A106" s="374" t="s">
        <v>613</v>
      </c>
      <c r="B106" s="376" t="s">
        <v>614</v>
      </c>
      <c r="C106" s="66"/>
      <c r="D106" s="66"/>
    </row>
    <row r="107" spans="1:4" ht="76.5" hidden="1">
      <c r="A107" s="136" t="s">
        <v>354</v>
      </c>
      <c r="B107" s="376" t="s">
        <v>355</v>
      </c>
      <c r="C107" s="66">
        <f>C108</f>
        <v>0</v>
      </c>
      <c r="D107" s="66"/>
    </row>
    <row r="108" spans="1:4" ht="76.5" hidden="1">
      <c r="A108" s="136" t="s">
        <v>418</v>
      </c>
      <c r="B108" s="376" t="s">
        <v>417</v>
      </c>
      <c r="C108" s="66"/>
      <c r="D108" s="66"/>
    </row>
    <row r="109" spans="1:4" ht="51">
      <c r="A109" s="136" t="s">
        <v>135</v>
      </c>
      <c r="B109" s="375" t="s">
        <v>136</v>
      </c>
      <c r="C109" s="66">
        <f>C110</f>
        <v>5340746</v>
      </c>
      <c r="D109" s="66">
        <f>D110</f>
        <v>5501947</v>
      </c>
    </row>
    <row r="110" spans="1:4" ht="51">
      <c r="A110" s="136" t="s">
        <v>137</v>
      </c>
      <c r="B110" s="375" t="s">
        <v>138</v>
      </c>
      <c r="C110" s="66">
        <f>694297+4646449</f>
        <v>5340746</v>
      </c>
      <c r="D110" s="66">
        <f>715253+4786694</f>
        <v>5501947</v>
      </c>
    </row>
    <row r="111" spans="1:4" ht="63.75" hidden="1">
      <c r="A111" s="136" t="s">
        <v>146</v>
      </c>
      <c r="B111" s="375" t="s">
        <v>147</v>
      </c>
      <c r="C111" s="66">
        <f>C112</f>
        <v>0</v>
      </c>
      <c r="D111" s="66">
        <f>D112</f>
        <v>0</v>
      </c>
    </row>
    <row r="112" spans="1:4" ht="63.75" hidden="1">
      <c r="A112" s="136" t="s">
        <v>148</v>
      </c>
      <c r="B112" s="137" t="s">
        <v>147</v>
      </c>
      <c r="C112" s="66"/>
      <c r="D112" s="66"/>
    </row>
    <row r="113" spans="1:4" ht="38.25" hidden="1">
      <c r="A113" s="136" t="s">
        <v>149</v>
      </c>
      <c r="B113" s="138" t="s">
        <v>150</v>
      </c>
      <c r="C113" s="66">
        <f>C114</f>
        <v>0</v>
      </c>
      <c r="D113" s="66">
        <f>D114</f>
        <v>0</v>
      </c>
    </row>
    <row r="114" spans="1:4" ht="38.25" hidden="1">
      <c r="A114" s="136" t="s">
        <v>151</v>
      </c>
      <c r="B114" s="138" t="s">
        <v>150</v>
      </c>
      <c r="C114" s="66"/>
      <c r="D114" s="66"/>
    </row>
    <row r="115" spans="1:4" ht="25.5" hidden="1">
      <c r="A115" s="374" t="s">
        <v>191</v>
      </c>
      <c r="B115" s="376" t="s">
        <v>192</v>
      </c>
      <c r="C115" s="66">
        <f>C116</f>
        <v>0</v>
      </c>
      <c r="D115" s="66">
        <f>D116</f>
        <v>0</v>
      </c>
    </row>
    <row r="116" spans="1:4" ht="25.5" hidden="1">
      <c r="A116" s="374" t="s">
        <v>194</v>
      </c>
      <c r="B116" s="376" t="s">
        <v>193</v>
      </c>
      <c r="C116" s="66"/>
      <c r="D116" s="66"/>
    </row>
    <row r="117" spans="1:4" ht="12.75">
      <c r="A117" s="381" t="s">
        <v>576</v>
      </c>
      <c r="B117" s="382" t="s">
        <v>228</v>
      </c>
      <c r="C117" s="66">
        <f>C119+C118</f>
        <v>997431</v>
      </c>
      <c r="D117" s="66">
        <f>D119</f>
        <v>318065</v>
      </c>
    </row>
    <row r="118" spans="1:4" ht="41.25" customHeight="1">
      <c r="A118" s="381" t="s">
        <v>576</v>
      </c>
      <c r="B118" s="382" t="s">
        <v>945</v>
      </c>
      <c r="C118" s="66">
        <v>679366</v>
      </c>
      <c r="D118" s="66"/>
    </row>
    <row r="119" spans="1:4" ht="76.5">
      <c r="A119" s="381" t="s">
        <v>576</v>
      </c>
      <c r="B119" s="71" t="s">
        <v>229</v>
      </c>
      <c r="C119" s="66">
        <f>318065</f>
        <v>318065</v>
      </c>
      <c r="D119" s="66">
        <v>318065</v>
      </c>
    </row>
    <row r="120" spans="1:4" ht="25.5">
      <c r="A120" s="383" t="s">
        <v>388</v>
      </c>
      <c r="B120" s="97" t="s">
        <v>415</v>
      </c>
      <c r="C120" s="64">
        <f>C121+C123+C127+C129+C131+C125</f>
        <v>235379021</v>
      </c>
      <c r="D120" s="64">
        <f>D121+D123+D127+D129+D131+D125</f>
        <v>236319449</v>
      </c>
    </row>
    <row r="121" spans="1:4" ht="51">
      <c r="A121" s="384" t="s">
        <v>389</v>
      </c>
      <c r="B121" s="34" t="s">
        <v>165</v>
      </c>
      <c r="C121" s="65">
        <f>C122</f>
        <v>125083</v>
      </c>
      <c r="D121" s="65">
        <f>D122</f>
        <v>125083</v>
      </c>
    </row>
    <row r="122" spans="1:4" ht="38.25">
      <c r="A122" s="384" t="s">
        <v>390</v>
      </c>
      <c r="B122" s="34" t="s">
        <v>292</v>
      </c>
      <c r="C122" s="66">
        <v>125083</v>
      </c>
      <c r="D122" s="66">
        <v>125083</v>
      </c>
    </row>
    <row r="123" spans="1:4" ht="51">
      <c r="A123" s="384" t="s">
        <v>391</v>
      </c>
      <c r="B123" s="34" t="s">
        <v>365</v>
      </c>
      <c r="C123" s="65">
        <f>C124</f>
        <v>6119254</v>
      </c>
      <c r="D123" s="65">
        <f>D124</f>
        <v>6326257</v>
      </c>
    </row>
    <row r="124" spans="1:4" ht="38.25">
      <c r="A124" s="384" t="s">
        <v>392</v>
      </c>
      <c r="B124" s="34" t="s">
        <v>366</v>
      </c>
      <c r="C124" s="66">
        <v>6119254</v>
      </c>
      <c r="D124" s="66">
        <v>6326257</v>
      </c>
    </row>
    <row r="125" spans="1:4" ht="63.75">
      <c r="A125" s="415" t="s">
        <v>887</v>
      </c>
      <c r="B125" s="93" t="s">
        <v>889</v>
      </c>
      <c r="C125" s="66">
        <f>C126</f>
        <v>4228092</v>
      </c>
      <c r="D125" s="66">
        <f>D126</f>
        <v>2114046</v>
      </c>
    </row>
    <row r="126" spans="1:4" ht="63.75">
      <c r="A126" s="415" t="s">
        <v>888</v>
      </c>
      <c r="B126" s="93" t="s">
        <v>890</v>
      </c>
      <c r="C126" s="66">
        <v>4228092</v>
      </c>
      <c r="D126" s="66">
        <v>2114046</v>
      </c>
    </row>
    <row r="127" spans="1:4" ht="38.25">
      <c r="A127" s="384" t="s">
        <v>500</v>
      </c>
      <c r="B127" s="34" t="s">
        <v>501</v>
      </c>
      <c r="C127" s="66">
        <f>C128</f>
        <v>44608300</v>
      </c>
      <c r="D127" s="66">
        <f>D128</f>
        <v>47416182</v>
      </c>
    </row>
    <row r="128" spans="1:4" ht="38.25">
      <c r="A128" s="384" t="s">
        <v>502</v>
      </c>
      <c r="B128" s="34" t="s">
        <v>503</v>
      </c>
      <c r="C128" s="66">
        <f>5799079+38809221</f>
        <v>44608300</v>
      </c>
      <c r="D128" s="66">
        <f>6164104+41252078</f>
        <v>47416182</v>
      </c>
    </row>
    <row r="129" spans="1:4" ht="51.75">
      <c r="A129" s="385" t="s">
        <v>777</v>
      </c>
      <c r="B129" s="376" t="s">
        <v>778</v>
      </c>
      <c r="C129" s="66">
        <f>C130</f>
        <v>6562080</v>
      </c>
      <c r="D129" s="66">
        <f>D130</f>
        <v>6562080</v>
      </c>
    </row>
    <row r="130" spans="1:4" ht="51.75">
      <c r="A130" s="386" t="s">
        <v>779</v>
      </c>
      <c r="B130" s="376" t="s">
        <v>159</v>
      </c>
      <c r="C130" s="66">
        <v>6562080</v>
      </c>
      <c r="D130" s="66">
        <v>6562080</v>
      </c>
    </row>
    <row r="131" spans="1:4" ht="12.75">
      <c r="A131" s="384" t="s">
        <v>416</v>
      </c>
      <c r="B131" s="55" t="s">
        <v>367</v>
      </c>
      <c r="C131" s="65">
        <f>C132</f>
        <v>173736212</v>
      </c>
      <c r="D131" s="65">
        <f>D132</f>
        <v>173775801</v>
      </c>
    </row>
    <row r="132" spans="1:4" ht="12.75">
      <c r="A132" s="384" t="s">
        <v>393</v>
      </c>
      <c r="B132" s="55" t="s">
        <v>85</v>
      </c>
      <c r="C132" s="65">
        <f>SUM(C133:C136)+SUM(C138:C140)+C143+C151</f>
        <v>173736212</v>
      </c>
      <c r="D132" s="65">
        <f>SUM(D133:D136)+SUM(D138:D140)+D143+D151</f>
        <v>173775801</v>
      </c>
    </row>
    <row r="133" spans="1:4" ht="89.25">
      <c r="A133" s="384" t="s">
        <v>393</v>
      </c>
      <c r="B133" s="34" t="s">
        <v>770</v>
      </c>
      <c r="C133" s="66">
        <v>334700</v>
      </c>
      <c r="D133" s="66">
        <v>334700</v>
      </c>
    </row>
    <row r="134" spans="1:4" ht="114.75">
      <c r="A134" s="384" t="s">
        <v>393</v>
      </c>
      <c r="B134" s="34" t="s">
        <v>720</v>
      </c>
      <c r="C134" s="66">
        <v>334700</v>
      </c>
      <c r="D134" s="66">
        <v>334700</v>
      </c>
    </row>
    <row r="135" spans="1:4" ht="89.25">
      <c r="A135" s="384" t="s">
        <v>393</v>
      </c>
      <c r="B135" s="34" t="s">
        <v>268</v>
      </c>
      <c r="C135" s="66">
        <v>334700</v>
      </c>
      <c r="D135" s="66">
        <v>334700</v>
      </c>
    </row>
    <row r="136" spans="1:4" ht="89.25">
      <c r="A136" s="384" t="s">
        <v>393</v>
      </c>
      <c r="B136" s="34" t="s">
        <v>72</v>
      </c>
      <c r="C136" s="65">
        <f>C137</f>
        <v>1004100</v>
      </c>
      <c r="D136" s="65">
        <f>D137</f>
        <v>1004100</v>
      </c>
    </row>
    <row r="137" spans="1:4" ht="12.75">
      <c r="A137" s="54"/>
      <c r="B137" s="56" t="s">
        <v>368</v>
      </c>
      <c r="C137" s="66">
        <v>1004100</v>
      </c>
      <c r="D137" s="66">
        <v>1004100</v>
      </c>
    </row>
    <row r="138" spans="1:4" ht="127.5">
      <c r="A138" s="384" t="s">
        <v>393</v>
      </c>
      <c r="B138" s="34" t="s">
        <v>396</v>
      </c>
      <c r="C138" s="66">
        <v>96274514</v>
      </c>
      <c r="D138" s="66">
        <v>96274514</v>
      </c>
    </row>
    <row r="139" spans="1:4" ht="114.75">
      <c r="A139" s="384" t="s">
        <v>393</v>
      </c>
      <c r="B139" s="34" t="s">
        <v>172</v>
      </c>
      <c r="C139" s="66">
        <v>55488082</v>
      </c>
      <c r="D139" s="66">
        <v>55488082</v>
      </c>
    </row>
    <row r="140" spans="1:4" ht="114.75">
      <c r="A140" s="384" t="s">
        <v>393</v>
      </c>
      <c r="B140" s="57" t="s">
        <v>603</v>
      </c>
      <c r="C140" s="65">
        <f>SUM(C141:C142)</f>
        <v>5352121</v>
      </c>
      <c r="D140" s="65">
        <f>SUM(D141:D142)</f>
        <v>5352121</v>
      </c>
    </row>
    <row r="141" spans="1:4" ht="51">
      <c r="A141" s="54"/>
      <c r="B141" s="56" t="s">
        <v>326</v>
      </c>
      <c r="C141" s="66">
        <v>236023</v>
      </c>
      <c r="D141" s="66">
        <v>236023</v>
      </c>
    </row>
    <row r="142" spans="1:4" ht="25.5">
      <c r="A142" s="54"/>
      <c r="B142" s="56" t="s">
        <v>369</v>
      </c>
      <c r="C142" s="66">
        <v>5116098</v>
      </c>
      <c r="D142" s="66">
        <v>5116098</v>
      </c>
    </row>
    <row r="143" spans="1:4" ht="76.5">
      <c r="A143" s="384" t="s">
        <v>393</v>
      </c>
      <c r="B143" s="34" t="s">
        <v>580</v>
      </c>
      <c r="C143" s="65">
        <f>SUM(C144:C150)</f>
        <v>13361725</v>
      </c>
      <c r="D143" s="65">
        <f>SUM(D144:D150)</f>
        <v>13401314</v>
      </c>
    </row>
    <row r="144" spans="1:4" ht="38.25">
      <c r="A144" s="54"/>
      <c r="B144" s="56" t="s">
        <v>370</v>
      </c>
      <c r="C144" s="66"/>
      <c r="D144" s="66"/>
    </row>
    <row r="145" spans="1:4" ht="25.5">
      <c r="A145" s="54"/>
      <c r="B145" s="56" t="s">
        <v>371</v>
      </c>
      <c r="C145" s="66">
        <v>7074641</v>
      </c>
      <c r="D145" s="66">
        <v>7074641</v>
      </c>
    </row>
    <row r="146" spans="1:4" ht="63.75">
      <c r="A146" s="54"/>
      <c r="B146" s="56" t="s">
        <v>547</v>
      </c>
      <c r="C146" s="66">
        <v>265488</v>
      </c>
      <c r="D146" s="66">
        <v>265488</v>
      </c>
    </row>
    <row r="147" spans="1:4" ht="12.75">
      <c r="A147" s="54"/>
      <c r="B147" s="56" t="s">
        <v>548</v>
      </c>
      <c r="C147" s="66">
        <v>1707915</v>
      </c>
      <c r="D147" s="66">
        <v>1707915</v>
      </c>
    </row>
    <row r="148" spans="1:4" ht="38.25">
      <c r="A148" s="54"/>
      <c r="B148" s="56" t="s">
        <v>549</v>
      </c>
      <c r="C148" s="66">
        <v>2342900</v>
      </c>
      <c r="D148" s="66">
        <v>2342900</v>
      </c>
    </row>
    <row r="149" spans="1:4" ht="51">
      <c r="A149" s="54"/>
      <c r="B149" s="172" t="s">
        <v>0</v>
      </c>
      <c r="C149" s="66">
        <v>1094800</v>
      </c>
      <c r="D149" s="66">
        <v>1094800</v>
      </c>
    </row>
    <row r="150" spans="1:4" ht="38.25">
      <c r="A150" s="54"/>
      <c r="B150" s="387" t="s">
        <v>504</v>
      </c>
      <c r="C150" s="66">
        <v>875981</v>
      </c>
      <c r="D150" s="66">
        <v>915570</v>
      </c>
    </row>
    <row r="151" spans="1:4" ht="89.25">
      <c r="A151" s="384" t="s">
        <v>393</v>
      </c>
      <c r="B151" s="57" t="s">
        <v>581</v>
      </c>
      <c r="C151" s="66">
        <f>SUM(C152:C153)</f>
        <v>1251570</v>
      </c>
      <c r="D151" s="66">
        <f>SUM(D152:D153)</f>
        <v>1251570</v>
      </c>
    </row>
    <row r="152" spans="1:4" ht="38.25">
      <c r="A152" s="54"/>
      <c r="B152" s="56" t="s">
        <v>582</v>
      </c>
      <c r="C152" s="66">
        <v>1084220</v>
      </c>
      <c r="D152" s="66">
        <v>1084220</v>
      </c>
    </row>
    <row r="153" spans="1:4" ht="51">
      <c r="A153" s="61"/>
      <c r="B153" s="62" t="s">
        <v>583</v>
      </c>
      <c r="C153" s="67">
        <v>167350</v>
      </c>
      <c r="D153" s="67">
        <v>167350</v>
      </c>
    </row>
  </sheetData>
  <sheetProtection/>
  <mergeCells count="1">
    <mergeCell ref="B3:D3"/>
  </mergeCells>
  <hyperlinks>
    <hyperlink ref="B73" r:id="rId1" display="/document/12125267/entry/50"/>
    <hyperlink ref="B75" r:id="rId2" display="https://internet.garant.ru/#/document/12125267/entry/60"/>
    <hyperlink ref="B83" r:id="rId3" display="/document/12125267/entry/140"/>
    <hyperlink ref="B85" r:id="rId4" display="https://internet.garant.ru/#/document/12125267/entry/150"/>
    <hyperlink ref="B87" r:id="rId5" display="https://internet.garant.ru/#/document/12125267/entry/190"/>
    <hyperlink ref="B89" r:id="rId6" display="/document/12125267/entry/200"/>
  </hyperlink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89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00"/>
  </sheetPr>
  <dimension ref="A1:H418"/>
  <sheetViews>
    <sheetView showGridLines="0" zoomScaleSheetLayoutView="100" zoomScalePageLayoutView="0" workbookViewId="0" topLeftCell="A409">
      <selection activeCell="G376" sqref="G376"/>
    </sheetView>
  </sheetViews>
  <sheetFormatPr defaultColWidth="9.140625" defaultRowHeight="12.75"/>
  <cols>
    <col min="1" max="1" width="54.7109375" style="184" customWidth="1"/>
    <col min="2" max="2" width="3.8515625" style="184" customWidth="1"/>
    <col min="3" max="3" width="4.57421875" style="184" customWidth="1"/>
    <col min="4" max="4" width="13.28125" style="184" customWidth="1"/>
    <col min="5" max="5" width="4.57421875" style="184" customWidth="1"/>
    <col min="6" max="6" width="14.421875" style="185" customWidth="1"/>
    <col min="7" max="7" width="12.57421875" style="184" customWidth="1"/>
    <col min="8" max="16384" width="9.140625" style="184" customWidth="1"/>
  </cols>
  <sheetData>
    <row r="1" spans="1:6" ht="12.75">
      <c r="A1" s="240"/>
      <c r="B1" s="238"/>
      <c r="C1" s="238"/>
      <c r="D1" s="238"/>
      <c r="E1" s="238"/>
      <c r="F1" s="241" t="s">
        <v>478</v>
      </c>
    </row>
    <row r="2" spans="1:6" ht="12.75">
      <c r="A2" s="240"/>
      <c r="B2" s="238"/>
      <c r="C2" s="238"/>
      <c r="D2" s="238"/>
      <c r="E2" s="238"/>
      <c r="F2" s="48" t="s">
        <v>267</v>
      </c>
    </row>
    <row r="3" spans="1:6" ht="12.75">
      <c r="A3" s="239"/>
      <c r="B3" s="494" t="s">
        <v>892</v>
      </c>
      <c r="C3" s="498"/>
      <c r="D3" s="498"/>
      <c r="E3" s="498"/>
      <c r="F3" s="498"/>
    </row>
    <row r="4" spans="1:6" ht="76.5" customHeight="1">
      <c r="A4" s="500" t="s">
        <v>929</v>
      </c>
      <c r="B4" s="500"/>
      <c r="C4" s="500"/>
      <c r="D4" s="500"/>
      <c r="E4" s="500"/>
      <c r="F4" s="500"/>
    </row>
    <row r="5" spans="1:6" ht="12.75">
      <c r="A5" s="235"/>
      <c r="B5" s="235"/>
      <c r="C5" s="235"/>
      <c r="D5" s="235"/>
      <c r="E5" s="235"/>
      <c r="F5" s="234" t="s">
        <v>90</v>
      </c>
    </row>
    <row r="6" spans="1:6" ht="12.75">
      <c r="A6" s="233" t="s">
        <v>86</v>
      </c>
      <c r="B6" s="233" t="s">
        <v>528</v>
      </c>
      <c r="C6" s="233" t="s">
        <v>529</v>
      </c>
      <c r="D6" s="233" t="s">
        <v>530</v>
      </c>
      <c r="E6" s="233" t="s">
        <v>531</v>
      </c>
      <c r="F6" s="232" t="s">
        <v>294</v>
      </c>
    </row>
    <row r="7" spans="1:6" ht="12.75">
      <c r="A7" s="231" t="s">
        <v>74</v>
      </c>
      <c r="B7" s="231" t="s">
        <v>87</v>
      </c>
      <c r="C7" s="231" t="s">
        <v>75</v>
      </c>
      <c r="D7" s="231" t="s">
        <v>532</v>
      </c>
      <c r="E7" s="231" t="s">
        <v>533</v>
      </c>
      <c r="F7" s="230" t="s">
        <v>534</v>
      </c>
    </row>
    <row r="8" spans="1:6" ht="12.75">
      <c r="A8" s="229" t="s">
        <v>91</v>
      </c>
      <c r="B8" s="228" t="s">
        <v>89</v>
      </c>
      <c r="C8" s="228" t="s">
        <v>89</v>
      </c>
      <c r="D8" s="228" t="s">
        <v>89</v>
      </c>
      <c r="E8" s="228" t="s">
        <v>89</v>
      </c>
      <c r="F8" s="227">
        <f>F9+F97+F103+F119+F165+F216+F222+F314+F331+F337+F405+F412</f>
        <v>540467169.06</v>
      </c>
    </row>
    <row r="9" spans="1:6" ht="12.75">
      <c r="A9" s="226" t="s">
        <v>598</v>
      </c>
      <c r="B9" s="224" t="s">
        <v>535</v>
      </c>
      <c r="C9" s="225" t="s">
        <v>466</v>
      </c>
      <c r="D9" s="224" t="s">
        <v>89</v>
      </c>
      <c r="E9" s="224" t="s">
        <v>89</v>
      </c>
      <c r="F9" s="223">
        <f>F10+F15+F27+F43+F48+F22</f>
        <v>43372751</v>
      </c>
    </row>
    <row r="10" spans="1:6" ht="25.5">
      <c r="A10" s="196" t="s">
        <v>536</v>
      </c>
      <c r="B10" s="195" t="s">
        <v>535</v>
      </c>
      <c r="C10" s="195" t="s">
        <v>537</v>
      </c>
      <c r="D10" s="195" t="s">
        <v>89</v>
      </c>
      <c r="E10" s="195" t="s">
        <v>89</v>
      </c>
      <c r="F10" s="190">
        <f>F11</f>
        <v>1314352</v>
      </c>
    </row>
    <row r="11" spans="1:6" ht="25.5">
      <c r="A11" s="203" t="s">
        <v>588</v>
      </c>
      <c r="B11" s="191" t="s">
        <v>535</v>
      </c>
      <c r="C11" s="191" t="s">
        <v>537</v>
      </c>
      <c r="D11" s="191" t="s">
        <v>691</v>
      </c>
      <c r="E11" s="191" t="s">
        <v>89</v>
      </c>
      <c r="F11" s="190">
        <f>F12</f>
        <v>1314352</v>
      </c>
    </row>
    <row r="12" spans="1:6" ht="12.75">
      <c r="A12" s="203" t="s">
        <v>361</v>
      </c>
      <c r="B12" s="191" t="s">
        <v>535</v>
      </c>
      <c r="C12" s="191" t="s">
        <v>537</v>
      </c>
      <c r="D12" s="191" t="s">
        <v>692</v>
      </c>
      <c r="E12" s="193" t="s">
        <v>89</v>
      </c>
      <c r="F12" s="190">
        <f>F13</f>
        <v>1314352</v>
      </c>
    </row>
    <row r="13" spans="1:6" ht="25.5">
      <c r="A13" s="193" t="s">
        <v>736</v>
      </c>
      <c r="B13" s="191" t="s">
        <v>535</v>
      </c>
      <c r="C13" s="191" t="s">
        <v>537</v>
      </c>
      <c r="D13" s="191" t="s">
        <v>693</v>
      </c>
      <c r="E13" s="191" t="s">
        <v>89</v>
      </c>
      <c r="F13" s="190">
        <f>F14</f>
        <v>1314352</v>
      </c>
    </row>
    <row r="14" spans="1:6" ht="51">
      <c r="A14" s="203" t="s">
        <v>740</v>
      </c>
      <c r="B14" s="191" t="s">
        <v>535</v>
      </c>
      <c r="C14" s="191" t="s">
        <v>537</v>
      </c>
      <c r="D14" s="191" t="s">
        <v>693</v>
      </c>
      <c r="E14" s="191" t="s">
        <v>597</v>
      </c>
      <c r="F14" s="202">
        <v>1314352</v>
      </c>
    </row>
    <row r="15" spans="1:6" ht="51">
      <c r="A15" s="196" t="s">
        <v>726</v>
      </c>
      <c r="B15" s="195" t="s">
        <v>535</v>
      </c>
      <c r="C15" s="195" t="s">
        <v>538</v>
      </c>
      <c r="D15" s="195" t="s">
        <v>89</v>
      </c>
      <c r="E15" s="195" t="s">
        <v>89</v>
      </c>
      <c r="F15" s="190">
        <f>F16</f>
        <v>12186356</v>
      </c>
    </row>
    <row r="16" spans="1:6" ht="12.75">
      <c r="A16" s="203" t="s">
        <v>473</v>
      </c>
      <c r="B16" s="191" t="s">
        <v>535</v>
      </c>
      <c r="C16" s="191" t="s">
        <v>538</v>
      </c>
      <c r="D16" s="191" t="s">
        <v>694</v>
      </c>
      <c r="E16" s="191" t="s">
        <v>89</v>
      </c>
      <c r="F16" s="190">
        <f>F17</f>
        <v>12186356</v>
      </c>
    </row>
    <row r="17" spans="1:6" ht="12.75">
      <c r="A17" s="203" t="s">
        <v>477</v>
      </c>
      <c r="B17" s="191" t="s">
        <v>535</v>
      </c>
      <c r="C17" s="191" t="s">
        <v>538</v>
      </c>
      <c r="D17" s="191" t="s">
        <v>695</v>
      </c>
      <c r="E17" s="193" t="s">
        <v>89</v>
      </c>
      <c r="F17" s="190">
        <f>F18</f>
        <v>12186356</v>
      </c>
    </row>
    <row r="18" spans="1:6" ht="25.5">
      <c r="A18" s="193" t="s">
        <v>736</v>
      </c>
      <c r="B18" s="191" t="s">
        <v>535</v>
      </c>
      <c r="C18" s="191" t="s">
        <v>538</v>
      </c>
      <c r="D18" s="191" t="s">
        <v>697</v>
      </c>
      <c r="E18" s="191" t="s">
        <v>89</v>
      </c>
      <c r="F18" s="190">
        <f>SUM(F19:F21)</f>
        <v>12186356</v>
      </c>
    </row>
    <row r="19" spans="1:6" ht="51">
      <c r="A19" s="203" t="s">
        <v>740</v>
      </c>
      <c r="B19" s="191" t="s">
        <v>535</v>
      </c>
      <c r="C19" s="191" t="s">
        <v>538</v>
      </c>
      <c r="D19" s="191" t="s">
        <v>697</v>
      </c>
      <c r="E19" s="191">
        <v>100</v>
      </c>
      <c r="F19" s="202">
        <v>11401730</v>
      </c>
    </row>
    <row r="20" spans="1:6" ht="25.5">
      <c r="A20" s="203" t="s">
        <v>232</v>
      </c>
      <c r="B20" s="191" t="s">
        <v>535</v>
      </c>
      <c r="C20" s="191" t="s">
        <v>538</v>
      </c>
      <c r="D20" s="191" t="s">
        <v>697</v>
      </c>
      <c r="E20" s="191">
        <v>200</v>
      </c>
      <c r="F20" s="202">
        <v>661440</v>
      </c>
    </row>
    <row r="21" spans="1:6" ht="12.75">
      <c r="A21" s="203" t="s">
        <v>79</v>
      </c>
      <c r="B21" s="191" t="s">
        <v>535</v>
      </c>
      <c r="C21" s="191" t="s">
        <v>538</v>
      </c>
      <c r="D21" s="191" t="s">
        <v>697</v>
      </c>
      <c r="E21" s="191">
        <v>800</v>
      </c>
      <c r="F21" s="202">
        <v>123186</v>
      </c>
    </row>
    <row r="22" spans="1:6" ht="12.75">
      <c r="A22" s="388" t="s">
        <v>872</v>
      </c>
      <c r="B22" s="191" t="s">
        <v>535</v>
      </c>
      <c r="C22" s="208" t="s">
        <v>658</v>
      </c>
      <c r="D22" s="191"/>
      <c r="E22" s="191"/>
      <c r="F22" s="202">
        <f>F23</f>
        <v>41201</v>
      </c>
    </row>
    <row r="23" spans="1:6" ht="25.5">
      <c r="A23" s="389" t="s">
        <v>631</v>
      </c>
      <c r="B23" s="191" t="s">
        <v>535</v>
      </c>
      <c r="C23" s="208" t="s">
        <v>658</v>
      </c>
      <c r="D23" s="214" t="s">
        <v>14</v>
      </c>
      <c r="E23" s="213"/>
      <c r="F23" s="202">
        <f>F24</f>
        <v>41201</v>
      </c>
    </row>
    <row r="24" spans="1:6" ht="25.5">
      <c r="A24" s="390" t="s">
        <v>641</v>
      </c>
      <c r="B24" s="191" t="s">
        <v>535</v>
      </c>
      <c r="C24" s="208" t="s">
        <v>658</v>
      </c>
      <c r="D24" s="214" t="s">
        <v>16</v>
      </c>
      <c r="E24" s="213"/>
      <c r="F24" s="202">
        <f>F25</f>
        <v>41201</v>
      </c>
    </row>
    <row r="25" spans="1:6" ht="38.25">
      <c r="A25" s="390" t="s">
        <v>873</v>
      </c>
      <c r="B25" s="191" t="s">
        <v>535</v>
      </c>
      <c r="C25" s="208" t="s">
        <v>658</v>
      </c>
      <c r="D25" s="214" t="s">
        <v>874</v>
      </c>
      <c r="E25" s="213"/>
      <c r="F25" s="202">
        <f>F26</f>
        <v>41201</v>
      </c>
    </row>
    <row r="26" spans="1:6" ht="25.5">
      <c r="A26" s="388" t="s">
        <v>232</v>
      </c>
      <c r="B26" s="191" t="s">
        <v>535</v>
      </c>
      <c r="C26" s="208" t="s">
        <v>658</v>
      </c>
      <c r="D26" s="214" t="s">
        <v>874</v>
      </c>
      <c r="E26" s="213">
        <v>200</v>
      </c>
      <c r="F26" s="202">
        <v>41201</v>
      </c>
    </row>
    <row r="27" spans="1:6" ht="38.25">
      <c r="A27" s="196" t="s">
        <v>349</v>
      </c>
      <c r="B27" s="195" t="s">
        <v>535</v>
      </c>
      <c r="C27" s="195" t="s">
        <v>539</v>
      </c>
      <c r="D27" s="195" t="s">
        <v>89</v>
      </c>
      <c r="E27" s="195" t="s">
        <v>89</v>
      </c>
      <c r="F27" s="190">
        <f>F28+F35</f>
        <v>5072353</v>
      </c>
    </row>
    <row r="28" spans="1:6" ht="25.5">
      <c r="A28" s="194" t="s">
        <v>175</v>
      </c>
      <c r="B28" s="191" t="s">
        <v>535</v>
      </c>
      <c r="C28" s="191" t="s">
        <v>539</v>
      </c>
      <c r="D28" s="191" t="s">
        <v>698</v>
      </c>
      <c r="E28" s="191" t="s">
        <v>89</v>
      </c>
      <c r="F28" s="190">
        <f>F29</f>
        <v>4076676</v>
      </c>
    </row>
    <row r="29" spans="1:6" ht="51">
      <c r="A29" s="117" t="s">
        <v>177</v>
      </c>
      <c r="B29" s="191" t="s">
        <v>535</v>
      </c>
      <c r="C29" s="191" t="s">
        <v>539</v>
      </c>
      <c r="D29" s="191" t="s">
        <v>699</v>
      </c>
      <c r="E29" s="193" t="s">
        <v>89</v>
      </c>
      <c r="F29" s="190">
        <f>F30</f>
        <v>4076676</v>
      </c>
    </row>
    <row r="30" spans="1:6" ht="38.25">
      <c r="A30" s="28" t="s">
        <v>599</v>
      </c>
      <c r="B30" s="191" t="s">
        <v>535</v>
      </c>
      <c r="C30" s="191" t="s">
        <v>539</v>
      </c>
      <c r="D30" s="191" t="s">
        <v>316</v>
      </c>
      <c r="E30" s="193"/>
      <c r="F30" s="190">
        <f>F31</f>
        <v>4076676</v>
      </c>
    </row>
    <row r="31" spans="1:6" ht="25.5">
      <c r="A31" s="193" t="s">
        <v>736</v>
      </c>
      <c r="B31" s="191" t="s">
        <v>535</v>
      </c>
      <c r="C31" s="191" t="s">
        <v>539</v>
      </c>
      <c r="D31" s="191" t="s">
        <v>700</v>
      </c>
      <c r="E31" s="191" t="s">
        <v>89</v>
      </c>
      <c r="F31" s="190">
        <f>SUM(F32:F34)</f>
        <v>4076676</v>
      </c>
    </row>
    <row r="32" spans="1:6" ht="51">
      <c r="A32" s="203" t="s">
        <v>740</v>
      </c>
      <c r="B32" s="191" t="s">
        <v>535</v>
      </c>
      <c r="C32" s="191" t="s">
        <v>539</v>
      </c>
      <c r="D32" s="191" t="s">
        <v>700</v>
      </c>
      <c r="E32" s="191">
        <v>100</v>
      </c>
      <c r="F32" s="202">
        <f>3065881+925896</f>
        <v>3991777</v>
      </c>
    </row>
    <row r="33" spans="1:6" ht="25.5">
      <c r="A33" s="203" t="s">
        <v>232</v>
      </c>
      <c r="B33" s="191" t="s">
        <v>535</v>
      </c>
      <c r="C33" s="191" t="s">
        <v>539</v>
      </c>
      <c r="D33" s="191" t="s">
        <v>700</v>
      </c>
      <c r="E33" s="191" t="s">
        <v>76</v>
      </c>
      <c r="F33" s="202">
        <f>64899+5000+15000</f>
        <v>84899</v>
      </c>
    </row>
    <row r="34" spans="1:6" ht="12.75" hidden="1">
      <c r="A34" s="203" t="s">
        <v>79</v>
      </c>
      <c r="B34" s="191" t="s">
        <v>535</v>
      </c>
      <c r="C34" s="191" t="s">
        <v>539</v>
      </c>
      <c r="D34" s="191" t="s">
        <v>700</v>
      </c>
      <c r="E34" s="191">
        <v>800</v>
      </c>
      <c r="F34" s="202"/>
    </row>
    <row r="35" spans="1:6" ht="25.5">
      <c r="A35" s="194" t="s">
        <v>173</v>
      </c>
      <c r="B35" s="191" t="s">
        <v>535</v>
      </c>
      <c r="C35" s="191" t="s">
        <v>539</v>
      </c>
      <c r="D35" s="192" t="s">
        <v>701</v>
      </c>
      <c r="E35" s="193" t="s">
        <v>89</v>
      </c>
      <c r="F35" s="190">
        <f>F36+F39</f>
        <v>995677</v>
      </c>
    </row>
    <row r="36" spans="1:6" ht="25.5">
      <c r="A36" s="117" t="s">
        <v>174</v>
      </c>
      <c r="B36" s="191" t="s">
        <v>535</v>
      </c>
      <c r="C36" s="191" t="s">
        <v>539</v>
      </c>
      <c r="D36" s="204" t="s">
        <v>702</v>
      </c>
      <c r="E36" s="191" t="s">
        <v>89</v>
      </c>
      <c r="F36" s="190">
        <f>F37</f>
        <v>638524</v>
      </c>
    </row>
    <row r="37" spans="1:6" ht="25.5">
      <c r="A37" s="193" t="s">
        <v>736</v>
      </c>
      <c r="B37" s="191" t="s">
        <v>535</v>
      </c>
      <c r="C37" s="191" t="s">
        <v>539</v>
      </c>
      <c r="D37" s="192" t="s">
        <v>703</v>
      </c>
      <c r="E37" s="191"/>
      <c r="F37" s="190">
        <f>SUM(F38:F38)</f>
        <v>638524</v>
      </c>
    </row>
    <row r="38" spans="1:6" ht="51">
      <c r="A38" s="203" t="s">
        <v>740</v>
      </c>
      <c r="B38" s="191" t="s">
        <v>535</v>
      </c>
      <c r="C38" s="191" t="s">
        <v>539</v>
      </c>
      <c r="D38" s="192" t="s">
        <v>703</v>
      </c>
      <c r="E38" s="191">
        <v>100</v>
      </c>
      <c r="F38" s="190">
        <f>490418+148106</f>
        <v>638524</v>
      </c>
    </row>
    <row r="39" spans="1:6" ht="25.5">
      <c r="A39" s="203" t="s">
        <v>42</v>
      </c>
      <c r="B39" s="191" t="s">
        <v>535</v>
      </c>
      <c r="C39" s="191" t="s">
        <v>539</v>
      </c>
      <c r="D39" s="204" t="s">
        <v>41</v>
      </c>
      <c r="E39" s="191"/>
      <c r="F39" s="190">
        <f>F40</f>
        <v>357153</v>
      </c>
    </row>
    <row r="40" spans="1:6" ht="25.5">
      <c r="A40" s="193" t="s">
        <v>736</v>
      </c>
      <c r="B40" s="191" t="s">
        <v>535</v>
      </c>
      <c r="C40" s="191" t="s">
        <v>539</v>
      </c>
      <c r="D40" s="192" t="s">
        <v>40</v>
      </c>
      <c r="E40" s="191"/>
      <c r="F40" s="190">
        <f>SUM(F41:F42)</f>
        <v>357153</v>
      </c>
    </row>
    <row r="41" spans="1:6" ht="51">
      <c r="A41" s="203" t="s">
        <v>740</v>
      </c>
      <c r="B41" s="191" t="s">
        <v>535</v>
      </c>
      <c r="C41" s="191" t="s">
        <v>539</v>
      </c>
      <c r="D41" s="192" t="s">
        <v>40</v>
      </c>
      <c r="E41" s="191">
        <v>100</v>
      </c>
      <c r="F41" s="202">
        <f>266631+80522</f>
        <v>347153</v>
      </c>
    </row>
    <row r="42" spans="1:6" ht="25.5">
      <c r="A42" s="203" t="s">
        <v>232</v>
      </c>
      <c r="B42" s="191" t="s">
        <v>535</v>
      </c>
      <c r="C42" s="191" t="s">
        <v>539</v>
      </c>
      <c r="D42" s="192" t="s">
        <v>40</v>
      </c>
      <c r="E42" s="191">
        <v>200</v>
      </c>
      <c r="F42" s="202">
        <v>10000</v>
      </c>
    </row>
    <row r="43" spans="1:6" ht="12.75">
      <c r="A43" s="196" t="s">
        <v>540</v>
      </c>
      <c r="B43" s="195" t="s">
        <v>535</v>
      </c>
      <c r="C43" s="195" t="s">
        <v>541</v>
      </c>
      <c r="D43" s="195" t="s">
        <v>89</v>
      </c>
      <c r="E43" s="195" t="s">
        <v>89</v>
      </c>
      <c r="F43" s="190">
        <f>F44</f>
        <v>100000</v>
      </c>
    </row>
    <row r="44" spans="1:6" ht="12.75">
      <c r="A44" s="203" t="s">
        <v>178</v>
      </c>
      <c r="B44" s="191" t="s">
        <v>535</v>
      </c>
      <c r="C44" s="191" t="s">
        <v>541</v>
      </c>
      <c r="D44" s="191" t="s">
        <v>704</v>
      </c>
      <c r="E44" s="191" t="s">
        <v>89</v>
      </c>
      <c r="F44" s="190">
        <f>F45</f>
        <v>100000</v>
      </c>
    </row>
    <row r="45" spans="1:6" ht="12.75">
      <c r="A45" s="203" t="s">
        <v>540</v>
      </c>
      <c r="B45" s="191" t="s">
        <v>535</v>
      </c>
      <c r="C45" s="191" t="s">
        <v>541</v>
      </c>
      <c r="D45" s="191" t="s">
        <v>705</v>
      </c>
      <c r="E45" s="193" t="s">
        <v>89</v>
      </c>
      <c r="F45" s="190">
        <f>F46</f>
        <v>100000</v>
      </c>
    </row>
    <row r="46" spans="1:6" ht="12.75">
      <c r="A46" s="193" t="s">
        <v>265</v>
      </c>
      <c r="B46" s="191" t="s">
        <v>535</v>
      </c>
      <c r="C46" s="191" t="s">
        <v>541</v>
      </c>
      <c r="D46" s="191" t="s">
        <v>226</v>
      </c>
      <c r="E46" s="191" t="s">
        <v>89</v>
      </c>
      <c r="F46" s="190">
        <f>F47</f>
        <v>100000</v>
      </c>
    </row>
    <row r="47" spans="1:6" ht="12.75">
      <c r="A47" s="203" t="s">
        <v>79</v>
      </c>
      <c r="B47" s="191" t="s">
        <v>535</v>
      </c>
      <c r="C47" s="191" t="s">
        <v>541</v>
      </c>
      <c r="D47" s="191" t="s">
        <v>226</v>
      </c>
      <c r="E47" s="191" t="s">
        <v>80</v>
      </c>
      <c r="F47" s="202">
        <v>100000</v>
      </c>
    </row>
    <row r="48" spans="1:6" ht="12.75">
      <c r="A48" s="196" t="s">
        <v>475</v>
      </c>
      <c r="B48" s="195" t="s">
        <v>535</v>
      </c>
      <c r="C48" s="195" t="s">
        <v>102</v>
      </c>
      <c r="D48" s="195" t="s">
        <v>89</v>
      </c>
      <c r="E48" s="195" t="s">
        <v>89</v>
      </c>
      <c r="F48" s="190">
        <f>F49+F54+F60+F67+F77+F81+F74</f>
        <v>24658489</v>
      </c>
    </row>
    <row r="49" spans="1:6" ht="25.5" hidden="1">
      <c r="A49" s="194" t="s">
        <v>756</v>
      </c>
      <c r="B49" s="191" t="s">
        <v>535</v>
      </c>
      <c r="C49" s="191" t="s">
        <v>102</v>
      </c>
      <c r="D49" s="191" t="s">
        <v>227</v>
      </c>
      <c r="E49" s="191" t="s">
        <v>89</v>
      </c>
      <c r="F49" s="190">
        <f>F50</f>
        <v>0</v>
      </c>
    </row>
    <row r="50" spans="1:6" ht="51" hidden="1">
      <c r="A50" s="117" t="s">
        <v>629</v>
      </c>
      <c r="B50" s="191" t="s">
        <v>535</v>
      </c>
      <c r="C50" s="191" t="s">
        <v>102</v>
      </c>
      <c r="D50" s="204" t="s">
        <v>6</v>
      </c>
      <c r="E50" s="193" t="s">
        <v>89</v>
      </c>
      <c r="F50" s="190">
        <f>F51</f>
        <v>0</v>
      </c>
    </row>
    <row r="51" spans="1:6" ht="38.25" hidden="1">
      <c r="A51" s="31" t="s">
        <v>454</v>
      </c>
      <c r="B51" s="191" t="s">
        <v>535</v>
      </c>
      <c r="C51" s="191" t="s">
        <v>102</v>
      </c>
      <c r="D51" s="204" t="s">
        <v>134</v>
      </c>
      <c r="E51" s="193"/>
      <c r="F51" s="190">
        <f>F52</f>
        <v>0</v>
      </c>
    </row>
    <row r="52" spans="1:6" ht="38.25" hidden="1">
      <c r="A52" s="193" t="s">
        <v>630</v>
      </c>
      <c r="B52" s="191" t="s">
        <v>535</v>
      </c>
      <c r="C52" s="191" t="s">
        <v>102</v>
      </c>
      <c r="D52" s="192" t="s">
        <v>455</v>
      </c>
      <c r="E52" s="191" t="s">
        <v>89</v>
      </c>
      <c r="F52" s="190">
        <f>F53</f>
        <v>0</v>
      </c>
    </row>
    <row r="53" spans="1:6" ht="25.5" hidden="1">
      <c r="A53" s="203" t="s">
        <v>92</v>
      </c>
      <c r="B53" s="191" t="s">
        <v>535</v>
      </c>
      <c r="C53" s="191" t="s">
        <v>102</v>
      </c>
      <c r="D53" s="192" t="s">
        <v>455</v>
      </c>
      <c r="E53" s="191" t="s">
        <v>81</v>
      </c>
      <c r="F53" s="202">
        <v>0</v>
      </c>
    </row>
    <row r="54" spans="1:6" ht="51">
      <c r="A54" s="194" t="s">
        <v>716</v>
      </c>
      <c r="B54" s="191" t="s">
        <v>535</v>
      </c>
      <c r="C54" s="191" t="s">
        <v>102</v>
      </c>
      <c r="D54" s="192" t="s">
        <v>8</v>
      </c>
      <c r="E54" s="191" t="s">
        <v>89</v>
      </c>
      <c r="F54" s="190">
        <f>F55</f>
        <v>996480</v>
      </c>
    </row>
    <row r="55" spans="1:6" ht="25.5">
      <c r="A55" s="196" t="s">
        <v>480</v>
      </c>
      <c r="B55" s="191" t="s">
        <v>535</v>
      </c>
      <c r="C55" s="191" t="s">
        <v>102</v>
      </c>
      <c r="D55" s="192" t="s">
        <v>9</v>
      </c>
      <c r="E55" s="191" t="s">
        <v>89</v>
      </c>
      <c r="F55" s="190">
        <f>F56</f>
        <v>996480</v>
      </c>
    </row>
    <row r="56" spans="1:6" ht="38.25">
      <c r="A56" s="426" t="s">
        <v>39</v>
      </c>
      <c r="B56" s="191" t="s">
        <v>535</v>
      </c>
      <c r="C56" s="191" t="s">
        <v>102</v>
      </c>
      <c r="D56" s="192" t="s">
        <v>10</v>
      </c>
      <c r="E56" s="191"/>
      <c r="F56" s="190">
        <f>F57</f>
        <v>996480</v>
      </c>
    </row>
    <row r="57" spans="1:6" ht="12.75">
      <c r="A57" s="193" t="s">
        <v>287</v>
      </c>
      <c r="B57" s="191" t="s">
        <v>535</v>
      </c>
      <c r="C57" s="191" t="s">
        <v>102</v>
      </c>
      <c r="D57" s="192" t="s">
        <v>11</v>
      </c>
      <c r="E57" s="191" t="s">
        <v>89</v>
      </c>
      <c r="F57" s="190">
        <f>SUM(F58:F59)</f>
        <v>996480</v>
      </c>
    </row>
    <row r="58" spans="1:6" ht="25.5">
      <c r="A58" s="203" t="s">
        <v>232</v>
      </c>
      <c r="B58" s="191" t="s">
        <v>535</v>
      </c>
      <c r="C58" s="191" t="s">
        <v>102</v>
      </c>
      <c r="D58" s="192" t="s">
        <v>11</v>
      </c>
      <c r="E58" s="191" t="s">
        <v>76</v>
      </c>
      <c r="F58" s="202">
        <v>537500</v>
      </c>
    </row>
    <row r="59" spans="1:6" ht="12.75">
      <c r="A59" s="203" t="s">
        <v>79</v>
      </c>
      <c r="B59" s="191" t="s">
        <v>535</v>
      </c>
      <c r="C59" s="191" t="s">
        <v>102</v>
      </c>
      <c r="D59" s="192" t="s">
        <v>11</v>
      </c>
      <c r="E59" s="191">
        <v>800</v>
      </c>
      <c r="F59" s="202">
        <v>458980</v>
      </c>
    </row>
    <row r="60" spans="1:6" ht="51">
      <c r="A60" s="194" t="s">
        <v>300</v>
      </c>
      <c r="B60" s="191" t="s">
        <v>535</v>
      </c>
      <c r="C60" s="191" t="s">
        <v>102</v>
      </c>
      <c r="D60" s="191" t="s">
        <v>12</v>
      </c>
      <c r="E60" s="191"/>
      <c r="F60" s="190">
        <f>F61</f>
        <v>50000</v>
      </c>
    </row>
    <row r="61" spans="1:6" ht="63.75">
      <c r="A61" s="117" t="s">
        <v>301</v>
      </c>
      <c r="B61" s="191" t="s">
        <v>535</v>
      </c>
      <c r="C61" s="191" t="s">
        <v>102</v>
      </c>
      <c r="D61" s="191" t="s">
        <v>13</v>
      </c>
      <c r="E61" s="191"/>
      <c r="F61" s="190">
        <f>F62</f>
        <v>50000</v>
      </c>
    </row>
    <row r="62" spans="1:6" ht="25.5">
      <c r="A62" s="120" t="s">
        <v>288</v>
      </c>
      <c r="B62" s="118" t="s">
        <v>535</v>
      </c>
      <c r="C62" s="118" t="s">
        <v>102</v>
      </c>
      <c r="D62" s="118" t="s">
        <v>112</v>
      </c>
      <c r="E62" s="118"/>
      <c r="F62" s="119">
        <f>F63</f>
        <v>50000</v>
      </c>
    </row>
    <row r="63" spans="1:6" ht="24">
      <c r="A63" s="427" t="s">
        <v>275</v>
      </c>
      <c r="B63" s="118" t="s">
        <v>535</v>
      </c>
      <c r="C63" s="118" t="s">
        <v>102</v>
      </c>
      <c r="D63" s="118" t="s">
        <v>289</v>
      </c>
      <c r="E63" s="118"/>
      <c r="F63" s="119">
        <f>F64</f>
        <v>50000</v>
      </c>
    </row>
    <row r="64" spans="1:6" ht="25.5">
      <c r="A64" s="120" t="s">
        <v>232</v>
      </c>
      <c r="B64" s="118" t="s">
        <v>535</v>
      </c>
      <c r="C64" s="118" t="s">
        <v>102</v>
      </c>
      <c r="D64" s="118" t="s">
        <v>289</v>
      </c>
      <c r="E64" s="118">
        <v>200</v>
      </c>
      <c r="F64" s="119">
        <v>50000</v>
      </c>
    </row>
    <row r="65" spans="1:6" ht="24" hidden="1">
      <c r="A65" s="427" t="s">
        <v>275</v>
      </c>
      <c r="B65" s="191" t="s">
        <v>535</v>
      </c>
      <c r="C65" s="191" t="s">
        <v>102</v>
      </c>
      <c r="D65" s="191" t="s">
        <v>276</v>
      </c>
      <c r="E65" s="191"/>
      <c r="F65" s="190">
        <f>F66</f>
        <v>0</v>
      </c>
    </row>
    <row r="66" spans="1:6" ht="25.5" hidden="1">
      <c r="A66" s="203" t="s">
        <v>232</v>
      </c>
      <c r="B66" s="191" t="s">
        <v>535</v>
      </c>
      <c r="C66" s="191" t="s">
        <v>102</v>
      </c>
      <c r="D66" s="191" t="s">
        <v>276</v>
      </c>
      <c r="E66" s="191">
        <v>200</v>
      </c>
      <c r="F66" s="202"/>
    </row>
    <row r="67" spans="1:6" ht="38.25" customHeight="1">
      <c r="A67" s="194" t="s">
        <v>718</v>
      </c>
      <c r="B67" s="191" t="s">
        <v>535</v>
      </c>
      <c r="C67" s="191" t="s">
        <v>102</v>
      </c>
      <c r="D67" s="191" t="s">
        <v>113</v>
      </c>
      <c r="E67" s="191"/>
      <c r="F67" s="190">
        <f>F68</f>
        <v>30000</v>
      </c>
    </row>
    <row r="68" spans="1:6" ht="51">
      <c r="A68" s="117" t="s">
        <v>719</v>
      </c>
      <c r="B68" s="191" t="s">
        <v>535</v>
      </c>
      <c r="C68" s="191" t="s">
        <v>102</v>
      </c>
      <c r="D68" s="191" t="s">
        <v>114</v>
      </c>
      <c r="E68" s="191"/>
      <c r="F68" s="190">
        <f>F69</f>
        <v>30000</v>
      </c>
    </row>
    <row r="69" spans="1:6" ht="25.5">
      <c r="A69" s="203" t="s">
        <v>115</v>
      </c>
      <c r="B69" s="191" t="s">
        <v>535</v>
      </c>
      <c r="C69" s="191" t="s">
        <v>102</v>
      </c>
      <c r="D69" s="191" t="s">
        <v>116</v>
      </c>
      <c r="E69" s="191"/>
      <c r="F69" s="190">
        <f>F70</f>
        <v>30000</v>
      </c>
    </row>
    <row r="70" spans="1:6" ht="38.25">
      <c r="A70" s="203" t="s">
        <v>118</v>
      </c>
      <c r="B70" s="191" t="s">
        <v>535</v>
      </c>
      <c r="C70" s="191" t="s">
        <v>102</v>
      </c>
      <c r="D70" s="191" t="s">
        <v>117</v>
      </c>
      <c r="E70" s="191"/>
      <c r="F70" s="190">
        <f>F71</f>
        <v>30000</v>
      </c>
    </row>
    <row r="71" spans="1:6" ht="25.5">
      <c r="A71" s="203" t="s">
        <v>232</v>
      </c>
      <c r="B71" s="191" t="s">
        <v>535</v>
      </c>
      <c r="C71" s="191" t="s">
        <v>102</v>
      </c>
      <c r="D71" s="191" t="s">
        <v>117</v>
      </c>
      <c r="E71" s="191">
        <v>200</v>
      </c>
      <c r="F71" s="202">
        <v>30000</v>
      </c>
    </row>
    <row r="72" spans="1:6" ht="12.75">
      <c r="A72" s="203" t="s">
        <v>473</v>
      </c>
      <c r="B72" s="191" t="s">
        <v>535</v>
      </c>
      <c r="C72" s="191" t="s">
        <v>538</v>
      </c>
      <c r="D72" s="191" t="s">
        <v>694</v>
      </c>
      <c r="E72" s="191"/>
      <c r="F72" s="202">
        <f>F73</f>
        <v>334700</v>
      </c>
    </row>
    <row r="73" spans="1:6" ht="12.75">
      <c r="A73" s="203" t="s">
        <v>477</v>
      </c>
      <c r="B73" s="191" t="s">
        <v>535</v>
      </c>
      <c r="C73" s="191" t="s">
        <v>538</v>
      </c>
      <c r="D73" s="191" t="s">
        <v>695</v>
      </c>
      <c r="E73" s="191"/>
      <c r="F73" s="202">
        <f>F74</f>
        <v>334700</v>
      </c>
    </row>
    <row r="74" spans="1:6" ht="38.25">
      <c r="A74" s="203" t="s">
        <v>297</v>
      </c>
      <c r="B74" s="191" t="s">
        <v>535</v>
      </c>
      <c r="C74" s="191" t="s">
        <v>102</v>
      </c>
      <c r="D74" s="191" t="s">
        <v>696</v>
      </c>
      <c r="E74" s="193"/>
      <c r="F74" s="190">
        <f>SUM(F75:F76)</f>
        <v>334700</v>
      </c>
    </row>
    <row r="75" spans="1:6" ht="51">
      <c r="A75" s="203" t="s">
        <v>740</v>
      </c>
      <c r="B75" s="191" t="s">
        <v>535</v>
      </c>
      <c r="C75" s="191" t="s">
        <v>102</v>
      </c>
      <c r="D75" s="191" t="s">
        <v>696</v>
      </c>
      <c r="E75" s="193">
        <v>100</v>
      </c>
      <c r="F75" s="202">
        <v>300582</v>
      </c>
    </row>
    <row r="76" spans="1:6" ht="25.5">
      <c r="A76" s="203" t="s">
        <v>232</v>
      </c>
      <c r="B76" s="191" t="s">
        <v>535</v>
      </c>
      <c r="C76" s="191" t="s">
        <v>102</v>
      </c>
      <c r="D76" s="191" t="s">
        <v>696</v>
      </c>
      <c r="E76" s="193">
        <v>200</v>
      </c>
      <c r="F76" s="202">
        <v>34118</v>
      </c>
    </row>
    <row r="77" spans="1:6" ht="25.5">
      <c r="A77" s="203" t="s">
        <v>525</v>
      </c>
      <c r="B77" s="191" t="s">
        <v>535</v>
      </c>
      <c r="C77" s="191" t="s">
        <v>102</v>
      </c>
      <c r="D77" s="192" t="s">
        <v>524</v>
      </c>
      <c r="E77" s="191"/>
      <c r="F77" s="190">
        <f>F78</f>
        <v>59900</v>
      </c>
    </row>
    <row r="78" spans="1:6" ht="12.75">
      <c r="A78" s="117" t="s">
        <v>523</v>
      </c>
      <c r="B78" s="191" t="s">
        <v>535</v>
      </c>
      <c r="C78" s="191" t="s">
        <v>102</v>
      </c>
      <c r="D78" s="192" t="s">
        <v>522</v>
      </c>
      <c r="E78" s="191"/>
      <c r="F78" s="190">
        <f>F79</f>
        <v>59900</v>
      </c>
    </row>
    <row r="79" spans="1:6" ht="25.5">
      <c r="A79" s="193" t="s">
        <v>38</v>
      </c>
      <c r="B79" s="191" t="s">
        <v>535</v>
      </c>
      <c r="C79" s="191" t="s">
        <v>102</v>
      </c>
      <c r="D79" s="192" t="s">
        <v>721</v>
      </c>
      <c r="E79" s="191"/>
      <c r="F79" s="190">
        <f>F80</f>
        <v>59900</v>
      </c>
    </row>
    <row r="80" spans="1:6" ht="12.75">
      <c r="A80" s="203" t="s">
        <v>79</v>
      </c>
      <c r="B80" s="191" t="s">
        <v>535</v>
      </c>
      <c r="C80" s="191" t="s">
        <v>102</v>
      </c>
      <c r="D80" s="192" t="s">
        <v>721</v>
      </c>
      <c r="E80" s="191">
        <v>800</v>
      </c>
      <c r="F80" s="202">
        <v>59900</v>
      </c>
    </row>
    <row r="81" spans="1:6" ht="25.5">
      <c r="A81" s="194" t="s">
        <v>631</v>
      </c>
      <c r="B81" s="191" t="s">
        <v>535</v>
      </c>
      <c r="C81" s="191" t="s">
        <v>102</v>
      </c>
      <c r="D81" s="192" t="s">
        <v>14</v>
      </c>
      <c r="E81" s="191" t="s">
        <v>89</v>
      </c>
      <c r="F81" s="190">
        <f>F82</f>
        <v>23187409</v>
      </c>
    </row>
    <row r="82" spans="1:6" ht="25.5">
      <c r="A82" s="117" t="s">
        <v>641</v>
      </c>
      <c r="B82" s="191" t="s">
        <v>535</v>
      </c>
      <c r="C82" s="191" t="s">
        <v>102</v>
      </c>
      <c r="D82" s="204" t="s">
        <v>16</v>
      </c>
      <c r="E82" s="193" t="s">
        <v>89</v>
      </c>
      <c r="F82" s="190">
        <f>F83+F87+F90+F92+F95</f>
        <v>23187409</v>
      </c>
    </row>
    <row r="83" spans="1:6" ht="25.5">
      <c r="A83" s="193" t="s">
        <v>498</v>
      </c>
      <c r="B83" s="191" t="s">
        <v>535</v>
      </c>
      <c r="C83" s="191" t="s">
        <v>102</v>
      </c>
      <c r="D83" s="192" t="s">
        <v>18</v>
      </c>
      <c r="E83" s="191" t="s">
        <v>89</v>
      </c>
      <c r="F83" s="190">
        <f>SUM(F84:F86)</f>
        <v>21547492</v>
      </c>
    </row>
    <row r="84" spans="1:6" ht="51">
      <c r="A84" s="203" t="s">
        <v>740</v>
      </c>
      <c r="B84" s="191" t="s">
        <v>535</v>
      </c>
      <c r="C84" s="191" t="s">
        <v>102</v>
      </c>
      <c r="D84" s="192" t="s">
        <v>18</v>
      </c>
      <c r="E84" s="191" t="s">
        <v>597</v>
      </c>
      <c r="F84" s="202">
        <f>15786187+4780058</f>
        <v>20566245</v>
      </c>
    </row>
    <row r="85" spans="1:6" ht="25.5">
      <c r="A85" s="203" t="s">
        <v>232</v>
      </c>
      <c r="B85" s="191" t="s">
        <v>535</v>
      </c>
      <c r="C85" s="191" t="s">
        <v>102</v>
      </c>
      <c r="D85" s="192" t="s">
        <v>18</v>
      </c>
      <c r="E85" s="191" t="s">
        <v>76</v>
      </c>
      <c r="F85" s="202">
        <f>29400+15000+350000+540000</f>
        <v>934400</v>
      </c>
    </row>
    <row r="86" spans="1:6" ht="12.75">
      <c r="A86" s="203" t="s">
        <v>79</v>
      </c>
      <c r="B86" s="191" t="s">
        <v>535</v>
      </c>
      <c r="C86" s="191" t="s">
        <v>102</v>
      </c>
      <c r="D86" s="192" t="s">
        <v>18</v>
      </c>
      <c r="E86" s="191" t="s">
        <v>80</v>
      </c>
      <c r="F86" s="202">
        <v>46847</v>
      </c>
    </row>
    <row r="87" spans="1:6" ht="25.5">
      <c r="A87" s="193" t="s">
        <v>38</v>
      </c>
      <c r="B87" s="191" t="s">
        <v>535</v>
      </c>
      <c r="C87" s="191" t="s">
        <v>102</v>
      </c>
      <c r="D87" s="192" t="s">
        <v>345</v>
      </c>
      <c r="E87" s="191"/>
      <c r="F87" s="202">
        <f>F89+F88</f>
        <v>1182567</v>
      </c>
    </row>
    <row r="88" spans="1:6" ht="12.75">
      <c r="A88" s="193" t="s">
        <v>83</v>
      </c>
      <c r="B88" s="191" t="s">
        <v>535</v>
      </c>
      <c r="C88" s="191" t="s">
        <v>102</v>
      </c>
      <c r="D88" s="192" t="s">
        <v>345</v>
      </c>
      <c r="E88" s="191">
        <v>300</v>
      </c>
      <c r="F88" s="202"/>
    </row>
    <row r="89" spans="1:6" ht="12.75">
      <c r="A89" s="203" t="s">
        <v>79</v>
      </c>
      <c r="B89" s="191" t="s">
        <v>535</v>
      </c>
      <c r="C89" s="191" t="s">
        <v>102</v>
      </c>
      <c r="D89" s="192" t="s">
        <v>345</v>
      </c>
      <c r="E89" s="191">
        <v>800</v>
      </c>
      <c r="F89" s="202">
        <v>1182567</v>
      </c>
    </row>
    <row r="90" spans="1:6" ht="25.5">
      <c r="A90" s="193" t="s">
        <v>468</v>
      </c>
      <c r="B90" s="191" t="s">
        <v>535</v>
      </c>
      <c r="C90" s="191" t="s">
        <v>102</v>
      </c>
      <c r="D90" s="192" t="s">
        <v>19</v>
      </c>
      <c r="E90" s="191" t="s">
        <v>89</v>
      </c>
      <c r="F90" s="190">
        <f>F91</f>
        <v>290000</v>
      </c>
    </row>
    <row r="91" spans="1:6" ht="25.5">
      <c r="A91" s="203" t="s">
        <v>232</v>
      </c>
      <c r="B91" s="191" t="s">
        <v>535</v>
      </c>
      <c r="C91" s="191" t="s">
        <v>102</v>
      </c>
      <c r="D91" s="192" t="s">
        <v>19</v>
      </c>
      <c r="E91" s="192">
        <v>200</v>
      </c>
      <c r="F91" s="202">
        <f>350000-60000</f>
        <v>290000</v>
      </c>
    </row>
    <row r="92" spans="1:6" ht="51">
      <c r="A92" s="27" t="s">
        <v>772</v>
      </c>
      <c r="B92" s="191" t="s">
        <v>535</v>
      </c>
      <c r="C92" s="191" t="s">
        <v>102</v>
      </c>
      <c r="D92" s="192" t="s">
        <v>48</v>
      </c>
      <c r="E92" s="192"/>
      <c r="F92" s="190">
        <f>SUM(F93:F94)</f>
        <v>167350</v>
      </c>
    </row>
    <row r="93" spans="1:6" ht="51">
      <c r="A93" s="203" t="s">
        <v>740</v>
      </c>
      <c r="B93" s="191" t="s">
        <v>535</v>
      </c>
      <c r="C93" s="191" t="s">
        <v>102</v>
      </c>
      <c r="D93" s="192" t="s">
        <v>48</v>
      </c>
      <c r="E93" s="192">
        <v>100</v>
      </c>
      <c r="F93" s="202">
        <v>124992</v>
      </c>
    </row>
    <row r="94" spans="1:6" ht="25.5">
      <c r="A94" s="189" t="s">
        <v>232</v>
      </c>
      <c r="B94" s="187" t="s">
        <v>535</v>
      </c>
      <c r="C94" s="187" t="s">
        <v>102</v>
      </c>
      <c r="D94" s="188" t="s">
        <v>48</v>
      </c>
      <c r="E94" s="188">
        <v>200</v>
      </c>
      <c r="F94" s="186">
        <v>42358</v>
      </c>
    </row>
    <row r="95" spans="1:6" ht="12.75">
      <c r="A95" s="221" t="s">
        <v>821</v>
      </c>
      <c r="B95" s="191" t="s">
        <v>535</v>
      </c>
      <c r="C95" s="191" t="s">
        <v>102</v>
      </c>
      <c r="D95" s="188" t="s">
        <v>820</v>
      </c>
      <c r="E95" s="220"/>
      <c r="F95" s="219">
        <f>F96</f>
        <v>0</v>
      </c>
    </row>
    <row r="96" spans="1:6" ht="25.5">
      <c r="A96" s="189" t="s">
        <v>232</v>
      </c>
      <c r="B96" s="187" t="s">
        <v>535</v>
      </c>
      <c r="C96" s="187" t="s">
        <v>102</v>
      </c>
      <c r="D96" s="188" t="s">
        <v>820</v>
      </c>
      <c r="E96" s="188">
        <v>200</v>
      </c>
      <c r="F96" s="186"/>
    </row>
    <row r="97" spans="1:6" ht="12.75">
      <c r="A97" s="200" t="s">
        <v>527</v>
      </c>
      <c r="B97" s="198" t="s">
        <v>537</v>
      </c>
      <c r="C97" s="199" t="s">
        <v>466</v>
      </c>
      <c r="D97" s="198" t="s">
        <v>89</v>
      </c>
      <c r="E97" s="198" t="s">
        <v>89</v>
      </c>
      <c r="F97" s="206">
        <f>F98</f>
        <v>16200</v>
      </c>
    </row>
    <row r="98" spans="1:6" ht="12.75">
      <c r="A98" s="196" t="s">
        <v>526</v>
      </c>
      <c r="B98" s="195" t="s">
        <v>537</v>
      </c>
      <c r="C98" s="195" t="s">
        <v>538</v>
      </c>
      <c r="D98" s="195" t="s">
        <v>89</v>
      </c>
      <c r="E98" s="195" t="s">
        <v>89</v>
      </c>
      <c r="F98" s="190">
        <f>F99</f>
        <v>16200</v>
      </c>
    </row>
    <row r="99" spans="1:6" ht="25.5">
      <c r="A99" s="203" t="s">
        <v>525</v>
      </c>
      <c r="B99" s="191" t="s">
        <v>537</v>
      </c>
      <c r="C99" s="191" t="s">
        <v>538</v>
      </c>
      <c r="D99" s="192" t="s">
        <v>524</v>
      </c>
      <c r="E99" s="191" t="s">
        <v>89</v>
      </c>
      <c r="F99" s="190">
        <f>F100</f>
        <v>16200</v>
      </c>
    </row>
    <row r="100" spans="1:6" ht="12.75">
      <c r="A100" s="203" t="s">
        <v>523</v>
      </c>
      <c r="B100" s="191" t="s">
        <v>537</v>
      </c>
      <c r="C100" s="191" t="s">
        <v>538</v>
      </c>
      <c r="D100" s="192" t="s">
        <v>522</v>
      </c>
      <c r="E100" s="191"/>
      <c r="F100" s="190">
        <f>F101</f>
        <v>16200</v>
      </c>
    </row>
    <row r="101" spans="1:6" ht="25.5">
      <c r="A101" s="28" t="s">
        <v>521</v>
      </c>
      <c r="B101" s="191" t="s">
        <v>537</v>
      </c>
      <c r="C101" s="191" t="s">
        <v>538</v>
      </c>
      <c r="D101" s="192" t="s">
        <v>520</v>
      </c>
      <c r="E101" s="193" t="s">
        <v>89</v>
      </c>
      <c r="F101" s="190">
        <f>F102</f>
        <v>16200</v>
      </c>
    </row>
    <row r="102" spans="1:6" ht="25.5">
      <c r="A102" s="189" t="s">
        <v>93</v>
      </c>
      <c r="B102" s="187" t="s">
        <v>537</v>
      </c>
      <c r="C102" s="187" t="s">
        <v>538</v>
      </c>
      <c r="D102" s="188" t="s">
        <v>520</v>
      </c>
      <c r="E102" s="187">
        <v>200</v>
      </c>
      <c r="F102" s="186">
        <v>16200</v>
      </c>
    </row>
    <row r="103" spans="1:6" ht="25.5">
      <c r="A103" s="200" t="s">
        <v>476</v>
      </c>
      <c r="B103" s="198" t="s">
        <v>103</v>
      </c>
      <c r="C103" s="199" t="s">
        <v>466</v>
      </c>
      <c r="D103" s="198" t="s">
        <v>89</v>
      </c>
      <c r="E103" s="198" t="s">
        <v>89</v>
      </c>
      <c r="F103" s="206">
        <f>F104</f>
        <v>2681401</v>
      </c>
    </row>
    <row r="104" spans="1:6" ht="38.25">
      <c r="A104" s="196" t="s">
        <v>485</v>
      </c>
      <c r="B104" s="195" t="s">
        <v>103</v>
      </c>
      <c r="C104" s="195">
        <v>10</v>
      </c>
      <c r="D104" s="195" t="s">
        <v>89</v>
      </c>
      <c r="E104" s="195" t="s">
        <v>89</v>
      </c>
      <c r="F104" s="190">
        <f>F105</f>
        <v>2681401</v>
      </c>
    </row>
    <row r="105" spans="1:6" ht="51">
      <c r="A105" s="194" t="s">
        <v>486</v>
      </c>
      <c r="B105" s="191" t="s">
        <v>103</v>
      </c>
      <c r="C105" s="191">
        <v>10</v>
      </c>
      <c r="D105" s="192" t="s">
        <v>20</v>
      </c>
      <c r="E105" s="191" t="s">
        <v>89</v>
      </c>
      <c r="F105" s="190">
        <f>F106+F115</f>
        <v>2681401</v>
      </c>
    </row>
    <row r="106" spans="1:7" ht="78" customHeight="1">
      <c r="A106" s="117" t="s">
        <v>298</v>
      </c>
      <c r="B106" s="191" t="s">
        <v>103</v>
      </c>
      <c r="C106" s="191">
        <v>10</v>
      </c>
      <c r="D106" s="192" t="s">
        <v>894</v>
      </c>
      <c r="E106" s="191"/>
      <c r="F106" s="190">
        <f>F107+F112</f>
        <v>2681401</v>
      </c>
      <c r="G106" s="499"/>
    </row>
    <row r="107" spans="1:7" ht="63.75">
      <c r="A107" s="28" t="s">
        <v>947</v>
      </c>
      <c r="B107" s="191" t="s">
        <v>103</v>
      </c>
      <c r="C107" s="191">
        <v>10</v>
      </c>
      <c r="D107" s="192" t="s">
        <v>946</v>
      </c>
      <c r="E107" s="191"/>
      <c r="F107" s="190">
        <f>F108+F117</f>
        <v>2581401</v>
      </c>
      <c r="G107" s="499"/>
    </row>
    <row r="108" spans="1:7" ht="25.5">
      <c r="A108" s="193" t="s">
        <v>498</v>
      </c>
      <c r="B108" s="191" t="s">
        <v>103</v>
      </c>
      <c r="C108" s="191">
        <v>10</v>
      </c>
      <c r="D108" s="192" t="s">
        <v>946</v>
      </c>
      <c r="E108" s="191" t="s">
        <v>89</v>
      </c>
      <c r="F108" s="190">
        <f>SUM(F109:F111)</f>
        <v>2581401</v>
      </c>
      <c r="G108" s="434"/>
    </row>
    <row r="109" spans="1:6" ht="51">
      <c r="A109" s="203" t="s">
        <v>740</v>
      </c>
      <c r="B109" s="191" t="s">
        <v>103</v>
      </c>
      <c r="C109" s="191">
        <v>10</v>
      </c>
      <c r="D109" s="192" t="s">
        <v>946</v>
      </c>
      <c r="E109" s="191" t="s">
        <v>597</v>
      </c>
      <c r="F109" s="202">
        <f>1859974+561712</f>
        <v>2421686</v>
      </c>
    </row>
    <row r="110" spans="1:6" ht="25.5">
      <c r="A110" s="203" t="s">
        <v>232</v>
      </c>
      <c r="B110" s="191" t="s">
        <v>103</v>
      </c>
      <c r="C110" s="191">
        <v>10</v>
      </c>
      <c r="D110" s="192" t="s">
        <v>946</v>
      </c>
      <c r="E110" s="191" t="s">
        <v>76</v>
      </c>
      <c r="F110" s="202">
        <f>46000+77175+35340</f>
        <v>158515</v>
      </c>
    </row>
    <row r="111" spans="1:6" ht="12.75">
      <c r="A111" s="189" t="s">
        <v>79</v>
      </c>
      <c r="B111" s="187" t="s">
        <v>103</v>
      </c>
      <c r="C111" s="187">
        <v>10</v>
      </c>
      <c r="D111" s="192" t="s">
        <v>946</v>
      </c>
      <c r="E111" s="187" t="s">
        <v>80</v>
      </c>
      <c r="F111" s="186">
        <v>1200</v>
      </c>
    </row>
    <row r="112" spans="1:6" ht="38.25">
      <c r="A112" s="203" t="s">
        <v>893</v>
      </c>
      <c r="B112" s="187" t="s">
        <v>103</v>
      </c>
      <c r="C112" s="187" t="s">
        <v>559</v>
      </c>
      <c r="D112" s="188" t="s">
        <v>895</v>
      </c>
      <c r="E112" s="187"/>
      <c r="F112" s="190">
        <f>F113</f>
        <v>100000</v>
      </c>
    </row>
    <row r="113" spans="1:6" ht="25.5">
      <c r="A113" s="203" t="s">
        <v>275</v>
      </c>
      <c r="B113" s="187" t="s">
        <v>103</v>
      </c>
      <c r="C113" s="187" t="s">
        <v>559</v>
      </c>
      <c r="D113" s="188" t="s">
        <v>896</v>
      </c>
      <c r="E113" s="187"/>
      <c r="F113" s="190">
        <f>F114</f>
        <v>100000</v>
      </c>
    </row>
    <row r="114" spans="1:6" ht="25.5">
      <c r="A114" s="203" t="s">
        <v>155</v>
      </c>
      <c r="B114" s="187" t="s">
        <v>103</v>
      </c>
      <c r="C114" s="187" t="s">
        <v>559</v>
      </c>
      <c r="D114" s="188" t="s">
        <v>896</v>
      </c>
      <c r="E114" s="187" t="s">
        <v>76</v>
      </c>
      <c r="F114" s="186">
        <v>100000</v>
      </c>
    </row>
    <row r="115" spans="1:6" ht="63.75" hidden="1">
      <c r="A115" s="117" t="s">
        <v>948</v>
      </c>
      <c r="B115" s="191" t="s">
        <v>103</v>
      </c>
      <c r="C115" s="191">
        <v>10</v>
      </c>
      <c r="D115" s="192" t="s">
        <v>21</v>
      </c>
      <c r="E115" s="191"/>
      <c r="F115" s="219">
        <f>F116</f>
        <v>0</v>
      </c>
    </row>
    <row r="116" spans="1:6" ht="25.5" hidden="1">
      <c r="A116" s="203" t="s">
        <v>949</v>
      </c>
      <c r="B116" s="191" t="s">
        <v>103</v>
      </c>
      <c r="C116" s="191">
        <v>10</v>
      </c>
      <c r="D116" s="188" t="s">
        <v>26</v>
      </c>
      <c r="E116" s="490"/>
      <c r="F116" s="219">
        <f>F117</f>
        <v>0</v>
      </c>
    </row>
    <row r="117" spans="1:6" ht="25.5" hidden="1">
      <c r="A117" s="203" t="s">
        <v>875</v>
      </c>
      <c r="B117" s="187" t="s">
        <v>103</v>
      </c>
      <c r="C117" s="187">
        <v>10</v>
      </c>
      <c r="D117" s="188" t="s">
        <v>876</v>
      </c>
      <c r="E117" s="191"/>
      <c r="F117" s="202">
        <f>F118</f>
        <v>0</v>
      </c>
    </row>
    <row r="118" spans="1:6" ht="25.5" hidden="1">
      <c r="A118" s="203" t="s">
        <v>232</v>
      </c>
      <c r="B118" s="187" t="s">
        <v>103</v>
      </c>
      <c r="C118" s="187">
        <v>10</v>
      </c>
      <c r="D118" s="188" t="s">
        <v>876</v>
      </c>
      <c r="E118" s="191">
        <v>200</v>
      </c>
      <c r="F118" s="202"/>
    </row>
    <row r="119" spans="1:6" ht="12.75">
      <c r="A119" s="200" t="s">
        <v>728</v>
      </c>
      <c r="B119" s="198" t="s">
        <v>538</v>
      </c>
      <c r="C119" s="199" t="s">
        <v>466</v>
      </c>
      <c r="D119" s="198" t="s">
        <v>89</v>
      </c>
      <c r="E119" s="198" t="s">
        <v>89</v>
      </c>
      <c r="F119" s="206">
        <f>F120+F137+F156+F131</f>
        <v>62561743.15</v>
      </c>
    </row>
    <row r="120" spans="1:6" ht="12.75">
      <c r="A120" s="196" t="s">
        <v>729</v>
      </c>
      <c r="B120" s="195" t="s">
        <v>538</v>
      </c>
      <c r="C120" s="195" t="s">
        <v>535</v>
      </c>
      <c r="D120" s="195" t="s">
        <v>89</v>
      </c>
      <c r="E120" s="195" t="s">
        <v>89</v>
      </c>
      <c r="F120" s="190">
        <f>F121</f>
        <v>423000</v>
      </c>
    </row>
    <row r="121" spans="1:6" ht="25.5">
      <c r="A121" s="194" t="s">
        <v>707</v>
      </c>
      <c r="B121" s="191" t="s">
        <v>538</v>
      </c>
      <c r="C121" s="191" t="s">
        <v>535</v>
      </c>
      <c r="D121" s="192" t="s">
        <v>22</v>
      </c>
      <c r="E121" s="191" t="s">
        <v>89</v>
      </c>
      <c r="F121" s="190">
        <f>F122+F126</f>
        <v>423000</v>
      </c>
    </row>
    <row r="122" spans="1:6" ht="51">
      <c r="A122" s="117" t="s">
        <v>589</v>
      </c>
      <c r="B122" s="191" t="s">
        <v>538</v>
      </c>
      <c r="C122" s="191" t="s">
        <v>535</v>
      </c>
      <c r="D122" s="192" t="s">
        <v>23</v>
      </c>
      <c r="E122" s="191"/>
      <c r="F122" s="190">
        <f>F123</f>
        <v>88300</v>
      </c>
    </row>
    <row r="123" spans="1:6" ht="38.25">
      <c r="A123" s="426" t="s">
        <v>519</v>
      </c>
      <c r="B123" s="191" t="s">
        <v>538</v>
      </c>
      <c r="C123" s="191" t="s">
        <v>535</v>
      </c>
      <c r="D123" s="192" t="s">
        <v>24</v>
      </c>
      <c r="E123" s="191"/>
      <c r="F123" s="190">
        <f>F124</f>
        <v>88300</v>
      </c>
    </row>
    <row r="124" spans="1:6" ht="25.5">
      <c r="A124" s="203" t="s">
        <v>706</v>
      </c>
      <c r="B124" s="191" t="s">
        <v>538</v>
      </c>
      <c r="C124" s="191" t="s">
        <v>535</v>
      </c>
      <c r="D124" s="192" t="s">
        <v>25</v>
      </c>
      <c r="E124" s="191"/>
      <c r="F124" s="190">
        <f>F125</f>
        <v>88300</v>
      </c>
    </row>
    <row r="125" spans="1:6" ht="25.5">
      <c r="A125" s="203" t="s">
        <v>92</v>
      </c>
      <c r="B125" s="191" t="s">
        <v>538</v>
      </c>
      <c r="C125" s="191" t="s">
        <v>535</v>
      </c>
      <c r="D125" s="192" t="s">
        <v>25</v>
      </c>
      <c r="E125" s="191">
        <v>600</v>
      </c>
      <c r="F125" s="202">
        <f>67819+20481</f>
        <v>88300</v>
      </c>
    </row>
    <row r="126" spans="1:6" ht="38.25">
      <c r="A126" s="117" t="s">
        <v>590</v>
      </c>
      <c r="B126" s="191" t="s">
        <v>538</v>
      </c>
      <c r="C126" s="191" t="s">
        <v>535</v>
      </c>
      <c r="D126" s="192" t="s">
        <v>28</v>
      </c>
      <c r="E126" s="191"/>
      <c r="F126" s="190">
        <f>F127</f>
        <v>334700</v>
      </c>
    </row>
    <row r="127" spans="1:6" ht="38.25">
      <c r="A127" s="28" t="s">
        <v>457</v>
      </c>
      <c r="B127" s="191" t="s">
        <v>538</v>
      </c>
      <c r="C127" s="191" t="s">
        <v>535</v>
      </c>
      <c r="D127" s="192" t="s">
        <v>29</v>
      </c>
      <c r="E127" s="191"/>
      <c r="F127" s="190">
        <f>F128</f>
        <v>334700</v>
      </c>
    </row>
    <row r="128" spans="1:6" ht="25.5">
      <c r="A128" s="193" t="s">
        <v>474</v>
      </c>
      <c r="B128" s="191" t="s">
        <v>538</v>
      </c>
      <c r="C128" s="191" t="s">
        <v>535</v>
      </c>
      <c r="D128" s="192" t="s">
        <v>30</v>
      </c>
      <c r="E128" s="191" t="s">
        <v>89</v>
      </c>
      <c r="F128" s="190">
        <f>SUM(F129:F130)</f>
        <v>334700</v>
      </c>
    </row>
    <row r="129" spans="1:6" ht="51">
      <c r="A129" s="203" t="s">
        <v>740</v>
      </c>
      <c r="B129" s="191" t="s">
        <v>538</v>
      </c>
      <c r="C129" s="191" t="s">
        <v>535</v>
      </c>
      <c r="D129" s="192" t="s">
        <v>30</v>
      </c>
      <c r="E129" s="191">
        <v>100</v>
      </c>
      <c r="F129" s="202">
        <f>334700-3000</f>
        <v>331700</v>
      </c>
    </row>
    <row r="130" spans="1:6" ht="25.5">
      <c r="A130" s="203" t="s">
        <v>232</v>
      </c>
      <c r="B130" s="191" t="s">
        <v>538</v>
      </c>
      <c r="C130" s="191" t="s">
        <v>535</v>
      </c>
      <c r="D130" s="192" t="s">
        <v>30</v>
      </c>
      <c r="E130" s="191">
        <v>200</v>
      </c>
      <c r="F130" s="202">
        <v>3000</v>
      </c>
    </row>
    <row r="131" spans="1:6" ht="12.75">
      <c r="A131" s="196" t="s">
        <v>897</v>
      </c>
      <c r="B131" s="195" t="s">
        <v>538</v>
      </c>
      <c r="C131" s="195" t="s">
        <v>558</v>
      </c>
      <c r="D131" s="195"/>
      <c r="E131" s="195"/>
      <c r="F131" s="190">
        <f>F132</f>
        <v>1500231.15</v>
      </c>
    </row>
    <row r="132" spans="1:6" ht="51.75" customHeight="1">
      <c r="A132" s="194" t="s">
        <v>482</v>
      </c>
      <c r="B132" s="191" t="s">
        <v>538</v>
      </c>
      <c r="C132" s="191" t="s">
        <v>558</v>
      </c>
      <c r="D132" s="192" t="s">
        <v>901</v>
      </c>
      <c r="E132" s="191"/>
      <c r="F132" s="190">
        <f>F133</f>
        <v>1500231.15</v>
      </c>
    </row>
    <row r="133" spans="1:6" ht="25.5">
      <c r="A133" s="117" t="s">
        <v>898</v>
      </c>
      <c r="B133" s="191" t="s">
        <v>538</v>
      </c>
      <c r="C133" s="191" t="s">
        <v>558</v>
      </c>
      <c r="D133" s="192" t="s">
        <v>902</v>
      </c>
      <c r="E133" s="191"/>
      <c r="F133" s="190">
        <f>F134</f>
        <v>1500231.15</v>
      </c>
    </row>
    <row r="134" spans="1:6" ht="38.25">
      <c r="A134" s="203" t="s">
        <v>899</v>
      </c>
      <c r="B134" s="191" t="s">
        <v>538</v>
      </c>
      <c r="C134" s="191" t="s">
        <v>558</v>
      </c>
      <c r="D134" s="192" t="s">
        <v>903</v>
      </c>
      <c r="E134" s="191"/>
      <c r="F134" s="202">
        <f>F135</f>
        <v>1500231.15</v>
      </c>
    </row>
    <row r="135" spans="1:6" ht="12.75">
      <c r="A135" s="203" t="s">
        <v>900</v>
      </c>
      <c r="B135" s="191" t="s">
        <v>538</v>
      </c>
      <c r="C135" s="191" t="s">
        <v>558</v>
      </c>
      <c r="D135" s="192" t="s">
        <v>904</v>
      </c>
      <c r="E135" s="191"/>
      <c r="F135" s="202">
        <f>F136</f>
        <v>1500231.15</v>
      </c>
    </row>
    <row r="136" spans="1:6" ht="25.5">
      <c r="A136" s="203" t="s">
        <v>232</v>
      </c>
      <c r="B136" s="191" t="s">
        <v>538</v>
      </c>
      <c r="C136" s="191" t="s">
        <v>558</v>
      </c>
      <c r="D136" s="192" t="s">
        <v>904</v>
      </c>
      <c r="E136" s="191" t="s">
        <v>76</v>
      </c>
      <c r="F136" s="202">
        <f>1380456+119775.15</f>
        <v>1500231.15</v>
      </c>
    </row>
    <row r="137" spans="1:6" ht="12.75">
      <c r="A137" s="196" t="s">
        <v>88</v>
      </c>
      <c r="B137" s="195" t="s">
        <v>538</v>
      </c>
      <c r="C137" s="195" t="s">
        <v>104</v>
      </c>
      <c r="D137" s="195" t="s">
        <v>89</v>
      </c>
      <c r="E137" s="195" t="s">
        <v>89</v>
      </c>
      <c r="F137" s="190">
        <f>F138</f>
        <v>60218512</v>
      </c>
    </row>
    <row r="138" spans="1:6" ht="50.25" customHeight="1">
      <c r="A138" s="194" t="s">
        <v>482</v>
      </c>
      <c r="B138" s="191" t="s">
        <v>538</v>
      </c>
      <c r="C138" s="191" t="s">
        <v>104</v>
      </c>
      <c r="D138" s="192" t="s">
        <v>31</v>
      </c>
      <c r="E138" s="191" t="s">
        <v>89</v>
      </c>
      <c r="F138" s="190">
        <f>F139+F152</f>
        <v>60218512</v>
      </c>
    </row>
    <row r="139" spans="1:6" ht="76.5">
      <c r="A139" s="117" t="s">
        <v>49</v>
      </c>
      <c r="B139" s="191" t="s">
        <v>538</v>
      </c>
      <c r="C139" s="191" t="s">
        <v>104</v>
      </c>
      <c r="D139" s="204" t="s">
        <v>237</v>
      </c>
      <c r="E139" s="193" t="s">
        <v>89</v>
      </c>
      <c r="F139" s="190">
        <f>F140+F144+F149</f>
        <v>60018240</v>
      </c>
    </row>
    <row r="140" spans="1:6" ht="25.5">
      <c r="A140" s="426" t="s">
        <v>236</v>
      </c>
      <c r="B140" s="191" t="s">
        <v>538</v>
      </c>
      <c r="C140" s="191" t="s">
        <v>104</v>
      </c>
      <c r="D140" s="192" t="s">
        <v>235</v>
      </c>
      <c r="E140" s="193"/>
      <c r="F140" s="190">
        <f>F141</f>
        <v>325802.67000000004</v>
      </c>
    </row>
    <row r="141" spans="1:6" ht="25.5">
      <c r="A141" s="28" t="s">
        <v>33</v>
      </c>
      <c r="B141" s="191" t="s">
        <v>538</v>
      </c>
      <c r="C141" s="191" t="s">
        <v>104</v>
      </c>
      <c r="D141" s="192" t="s">
        <v>234</v>
      </c>
      <c r="E141" s="193"/>
      <c r="F141" s="190">
        <f>F142+F143</f>
        <v>325802.67000000004</v>
      </c>
    </row>
    <row r="142" spans="1:6" ht="25.5">
      <c r="A142" s="120" t="s">
        <v>232</v>
      </c>
      <c r="B142" s="191" t="s">
        <v>538</v>
      </c>
      <c r="C142" s="191" t="s">
        <v>104</v>
      </c>
      <c r="D142" s="192" t="s">
        <v>234</v>
      </c>
      <c r="E142" s="193">
        <v>200</v>
      </c>
      <c r="F142" s="202"/>
    </row>
    <row r="143" spans="1:6" ht="12.75">
      <c r="A143" s="203" t="s">
        <v>79</v>
      </c>
      <c r="B143" s="191" t="s">
        <v>538</v>
      </c>
      <c r="C143" s="191" t="s">
        <v>104</v>
      </c>
      <c r="D143" s="192" t="s">
        <v>234</v>
      </c>
      <c r="E143" s="193">
        <v>800</v>
      </c>
      <c r="F143" s="202">
        <f>526074.67-200272</f>
        <v>325802.67000000004</v>
      </c>
    </row>
    <row r="144" spans="1:6" ht="38.25">
      <c r="A144" s="426" t="s">
        <v>233</v>
      </c>
      <c r="B144" s="191" t="s">
        <v>538</v>
      </c>
      <c r="C144" s="191" t="s">
        <v>104</v>
      </c>
      <c r="D144" s="192" t="s">
        <v>254</v>
      </c>
      <c r="E144" s="193"/>
      <c r="F144" s="190">
        <f>F147+F145</f>
        <v>59692437.33</v>
      </c>
    </row>
    <row r="145" spans="1:6" ht="38.25">
      <c r="A145" s="144" t="s">
        <v>633</v>
      </c>
      <c r="B145" s="145" t="s">
        <v>538</v>
      </c>
      <c r="C145" s="145" t="s">
        <v>104</v>
      </c>
      <c r="D145" s="146" t="s">
        <v>152</v>
      </c>
      <c r="E145" s="147"/>
      <c r="F145" s="190">
        <f>F146</f>
        <v>57294342</v>
      </c>
    </row>
    <row r="146" spans="1:6" ht="25.5">
      <c r="A146" s="148" t="s">
        <v>232</v>
      </c>
      <c r="B146" s="145" t="s">
        <v>538</v>
      </c>
      <c r="C146" s="145" t="s">
        <v>104</v>
      </c>
      <c r="D146" s="146" t="s">
        <v>152</v>
      </c>
      <c r="E146" s="149">
        <v>200</v>
      </c>
      <c r="F146" s="190">
        <v>57294342</v>
      </c>
    </row>
    <row r="147" spans="1:6" ht="38.25">
      <c r="A147" s="74" t="s">
        <v>633</v>
      </c>
      <c r="B147" s="191" t="s">
        <v>538</v>
      </c>
      <c r="C147" s="191" t="s">
        <v>104</v>
      </c>
      <c r="D147" s="150" t="s">
        <v>632</v>
      </c>
      <c r="E147" s="191" t="s">
        <v>89</v>
      </c>
      <c r="F147" s="190">
        <f>F148</f>
        <v>2398095.33</v>
      </c>
    </row>
    <row r="148" spans="1:6" ht="25.5">
      <c r="A148" s="203" t="s">
        <v>232</v>
      </c>
      <c r="B148" s="191" t="s">
        <v>538</v>
      </c>
      <c r="C148" s="191" t="s">
        <v>104</v>
      </c>
      <c r="D148" s="150" t="s">
        <v>632</v>
      </c>
      <c r="E148" s="191">
        <v>200</v>
      </c>
      <c r="F148" s="202">
        <f>1864997.33+533098</f>
        <v>2398095.33</v>
      </c>
    </row>
    <row r="149" spans="1:6" ht="38.25" hidden="1">
      <c r="A149" s="203" t="s">
        <v>67</v>
      </c>
      <c r="B149" s="191" t="s">
        <v>538</v>
      </c>
      <c r="C149" s="191" t="s">
        <v>104</v>
      </c>
      <c r="D149" s="192" t="s">
        <v>68</v>
      </c>
      <c r="E149" s="191"/>
      <c r="F149" s="190">
        <f>F150</f>
        <v>0</v>
      </c>
    </row>
    <row r="150" spans="1:6" ht="24" hidden="1">
      <c r="A150" s="427" t="s">
        <v>749</v>
      </c>
      <c r="B150" s="191" t="s">
        <v>538</v>
      </c>
      <c r="C150" s="191" t="s">
        <v>104</v>
      </c>
      <c r="D150" s="192" t="s">
        <v>750</v>
      </c>
      <c r="E150" s="191"/>
      <c r="F150" s="190">
        <f>F151</f>
        <v>0</v>
      </c>
    </row>
    <row r="151" spans="1:6" ht="25.5" hidden="1">
      <c r="A151" s="203" t="s">
        <v>225</v>
      </c>
      <c r="B151" s="191" t="s">
        <v>538</v>
      </c>
      <c r="C151" s="191" t="s">
        <v>104</v>
      </c>
      <c r="D151" s="192" t="s">
        <v>750</v>
      </c>
      <c r="E151" s="191">
        <v>400</v>
      </c>
      <c r="F151" s="202"/>
    </row>
    <row r="152" spans="1:6" ht="76.5">
      <c r="A152" s="117" t="s">
        <v>264</v>
      </c>
      <c r="B152" s="191" t="s">
        <v>538</v>
      </c>
      <c r="C152" s="191" t="s">
        <v>104</v>
      </c>
      <c r="D152" s="204" t="s">
        <v>32</v>
      </c>
      <c r="E152" s="191"/>
      <c r="F152" s="190">
        <f>F153</f>
        <v>200272</v>
      </c>
    </row>
    <row r="153" spans="1:6" ht="63.75">
      <c r="A153" s="426" t="s">
        <v>101</v>
      </c>
      <c r="B153" s="191" t="s">
        <v>538</v>
      </c>
      <c r="C153" s="191" t="s">
        <v>104</v>
      </c>
      <c r="D153" s="192" t="s">
        <v>453</v>
      </c>
      <c r="E153" s="191"/>
      <c r="F153" s="190">
        <f>F154</f>
        <v>200272</v>
      </c>
    </row>
    <row r="154" spans="1:6" ht="38.25">
      <c r="A154" s="28" t="s">
        <v>634</v>
      </c>
      <c r="B154" s="191" t="s">
        <v>538</v>
      </c>
      <c r="C154" s="191" t="s">
        <v>104</v>
      </c>
      <c r="D154" s="192" t="s">
        <v>351</v>
      </c>
      <c r="E154" s="191"/>
      <c r="F154" s="190">
        <f>F155</f>
        <v>200272</v>
      </c>
    </row>
    <row r="155" spans="1:6" ht="12.75">
      <c r="A155" s="203" t="s">
        <v>79</v>
      </c>
      <c r="B155" s="191" t="s">
        <v>538</v>
      </c>
      <c r="C155" s="191" t="s">
        <v>104</v>
      </c>
      <c r="D155" s="192" t="s">
        <v>351</v>
      </c>
      <c r="E155" s="191">
        <v>800</v>
      </c>
      <c r="F155" s="202">
        <v>200272</v>
      </c>
    </row>
    <row r="156" spans="1:6" ht="12.75">
      <c r="A156" s="117" t="s">
        <v>556</v>
      </c>
      <c r="B156" s="195" t="s">
        <v>538</v>
      </c>
      <c r="C156" s="195">
        <v>12</v>
      </c>
      <c r="D156" s="204"/>
      <c r="E156" s="195"/>
      <c r="F156" s="190">
        <f>F157+F161</f>
        <v>420000</v>
      </c>
    </row>
    <row r="157" spans="1:6" ht="38.25">
      <c r="A157" s="194" t="s">
        <v>50</v>
      </c>
      <c r="B157" s="191" t="s">
        <v>538</v>
      </c>
      <c r="C157" s="191">
        <v>12</v>
      </c>
      <c r="D157" s="192" t="s">
        <v>635</v>
      </c>
      <c r="E157" s="191"/>
      <c r="F157" s="190">
        <f>F158</f>
        <v>20000</v>
      </c>
    </row>
    <row r="158" spans="1:6" ht="38.25">
      <c r="A158" s="28" t="s">
        <v>338</v>
      </c>
      <c r="B158" s="191" t="s">
        <v>538</v>
      </c>
      <c r="C158" s="191">
        <v>12</v>
      </c>
      <c r="D158" s="192" t="s">
        <v>637</v>
      </c>
      <c r="E158" s="191"/>
      <c r="F158" s="190">
        <f>F159</f>
        <v>20000</v>
      </c>
    </row>
    <row r="159" spans="1:6" ht="38.25">
      <c r="A159" s="28" t="s">
        <v>636</v>
      </c>
      <c r="B159" s="191" t="s">
        <v>538</v>
      </c>
      <c r="C159" s="191">
        <v>12</v>
      </c>
      <c r="D159" s="192" t="s">
        <v>100</v>
      </c>
      <c r="E159" s="191"/>
      <c r="F159" s="190">
        <f>F160</f>
        <v>20000</v>
      </c>
    </row>
    <row r="160" spans="1:6" ht="12.75">
      <c r="A160" s="203" t="s">
        <v>79</v>
      </c>
      <c r="B160" s="191" t="s">
        <v>538</v>
      </c>
      <c r="C160" s="191">
        <v>12</v>
      </c>
      <c r="D160" s="192" t="s">
        <v>100</v>
      </c>
      <c r="E160" s="191">
        <v>800</v>
      </c>
      <c r="F160" s="202">
        <v>20000</v>
      </c>
    </row>
    <row r="161" spans="1:6" ht="25.5">
      <c r="A161" s="121" t="s">
        <v>631</v>
      </c>
      <c r="B161" s="118" t="s">
        <v>538</v>
      </c>
      <c r="C161" s="118">
        <v>12</v>
      </c>
      <c r="D161" s="150" t="s">
        <v>14</v>
      </c>
      <c r="E161" s="118"/>
      <c r="F161" s="124">
        <f>F162</f>
        <v>400000</v>
      </c>
    </row>
    <row r="162" spans="1:6" ht="25.5">
      <c r="A162" s="122" t="s">
        <v>641</v>
      </c>
      <c r="B162" s="118" t="s">
        <v>538</v>
      </c>
      <c r="C162" s="118">
        <v>12</v>
      </c>
      <c r="D162" s="123" t="s">
        <v>16</v>
      </c>
      <c r="E162" s="118"/>
      <c r="F162" s="124">
        <f>F163</f>
        <v>400000</v>
      </c>
    </row>
    <row r="163" spans="1:6" ht="25.5">
      <c r="A163" s="120" t="s">
        <v>98</v>
      </c>
      <c r="B163" s="118" t="s">
        <v>538</v>
      </c>
      <c r="C163" s="118">
        <v>12</v>
      </c>
      <c r="D163" s="150" t="s">
        <v>99</v>
      </c>
      <c r="E163" s="118"/>
      <c r="F163" s="124">
        <f>F164</f>
        <v>400000</v>
      </c>
    </row>
    <row r="164" spans="1:6" ht="25.5">
      <c r="A164" s="151" t="s">
        <v>232</v>
      </c>
      <c r="B164" s="160" t="s">
        <v>538</v>
      </c>
      <c r="C164" s="160">
        <v>12</v>
      </c>
      <c r="D164" s="152" t="s">
        <v>99</v>
      </c>
      <c r="E164" s="160">
        <v>200</v>
      </c>
      <c r="F164" s="153">
        <v>400000</v>
      </c>
    </row>
    <row r="165" spans="1:6" ht="12.75">
      <c r="A165" s="200" t="s">
        <v>543</v>
      </c>
      <c r="B165" s="198" t="s">
        <v>658</v>
      </c>
      <c r="C165" s="199" t="s">
        <v>466</v>
      </c>
      <c r="D165" s="198" t="s">
        <v>89</v>
      </c>
      <c r="E165" s="198" t="s">
        <v>89</v>
      </c>
      <c r="F165" s="206">
        <f>F166+F180</f>
        <v>64202694.11</v>
      </c>
    </row>
    <row r="166" spans="1:6" ht="12.75">
      <c r="A166" s="196" t="s">
        <v>239</v>
      </c>
      <c r="B166" s="195" t="s">
        <v>658</v>
      </c>
      <c r="C166" s="218" t="s">
        <v>535</v>
      </c>
      <c r="D166" s="217"/>
      <c r="E166" s="217"/>
      <c r="F166" s="190">
        <f>F167</f>
        <v>49620279.26</v>
      </c>
    </row>
    <row r="167" spans="1:6" ht="51">
      <c r="A167" s="194" t="s">
        <v>483</v>
      </c>
      <c r="B167" s="191" t="s">
        <v>658</v>
      </c>
      <c r="C167" s="208" t="s">
        <v>535</v>
      </c>
      <c r="D167" s="192" t="s">
        <v>34</v>
      </c>
      <c r="E167" s="217"/>
      <c r="F167" s="190">
        <f>F168+F176</f>
        <v>49620279.26</v>
      </c>
    </row>
    <row r="168" spans="1:6" ht="76.5">
      <c r="A168" s="117" t="s">
        <v>219</v>
      </c>
      <c r="B168" s="191" t="s">
        <v>658</v>
      </c>
      <c r="C168" s="208" t="s">
        <v>535</v>
      </c>
      <c r="D168" s="192" t="s">
        <v>220</v>
      </c>
      <c r="E168" s="217"/>
      <c r="F168" s="190">
        <f>F169</f>
        <v>48936279.26</v>
      </c>
    </row>
    <row r="169" spans="1:6" ht="30.75" customHeight="1">
      <c r="A169" s="428" t="s">
        <v>754</v>
      </c>
      <c r="B169" s="191" t="s">
        <v>658</v>
      </c>
      <c r="C169" s="208" t="s">
        <v>535</v>
      </c>
      <c r="D169" s="192" t="s">
        <v>66</v>
      </c>
      <c r="E169" s="217"/>
      <c r="F169" s="190">
        <f>F170+F172+F174</f>
        <v>48936279.26</v>
      </c>
    </row>
    <row r="170" spans="1:6" ht="38.25">
      <c r="A170" s="428" t="s">
        <v>94</v>
      </c>
      <c r="B170" s="191" t="s">
        <v>658</v>
      </c>
      <c r="C170" s="208" t="s">
        <v>535</v>
      </c>
      <c r="D170" s="192" t="s">
        <v>710</v>
      </c>
      <c r="E170" s="217"/>
      <c r="F170" s="190">
        <f>F171</f>
        <v>31409414.15</v>
      </c>
    </row>
    <row r="171" spans="1:6" ht="25.5">
      <c r="A171" s="203" t="s">
        <v>225</v>
      </c>
      <c r="B171" s="191" t="s">
        <v>658</v>
      </c>
      <c r="C171" s="208" t="s">
        <v>535</v>
      </c>
      <c r="D171" s="192" t="s">
        <v>710</v>
      </c>
      <c r="E171" s="191">
        <v>400</v>
      </c>
      <c r="F171" s="190">
        <v>31409414.15</v>
      </c>
    </row>
    <row r="172" spans="1:6" ht="25.5">
      <c r="A172" s="428" t="s">
        <v>95</v>
      </c>
      <c r="B172" s="191" t="s">
        <v>658</v>
      </c>
      <c r="C172" s="208" t="s">
        <v>535</v>
      </c>
      <c r="D172" s="192" t="s">
        <v>711</v>
      </c>
      <c r="E172" s="217"/>
      <c r="F172" s="190">
        <f>F173</f>
        <v>6371534.65</v>
      </c>
    </row>
    <row r="173" spans="1:6" ht="25.5">
      <c r="A173" s="203" t="s">
        <v>225</v>
      </c>
      <c r="B173" s="191" t="s">
        <v>658</v>
      </c>
      <c r="C173" s="208" t="s">
        <v>535</v>
      </c>
      <c r="D173" s="192" t="s">
        <v>711</v>
      </c>
      <c r="E173" s="191">
        <v>400</v>
      </c>
      <c r="F173" s="190">
        <v>6371534.65</v>
      </c>
    </row>
    <row r="174" spans="1:6" ht="63.75">
      <c r="A174" s="28" t="s">
        <v>69</v>
      </c>
      <c r="B174" s="191" t="s">
        <v>658</v>
      </c>
      <c r="C174" s="208" t="s">
        <v>535</v>
      </c>
      <c r="D174" s="192" t="s">
        <v>296</v>
      </c>
      <c r="E174" s="217"/>
      <c r="F174" s="190">
        <f>F175</f>
        <v>11155330.46</v>
      </c>
    </row>
    <row r="175" spans="1:6" ht="25.5">
      <c r="A175" s="203" t="s">
        <v>225</v>
      </c>
      <c r="B175" s="191" t="s">
        <v>658</v>
      </c>
      <c r="C175" s="208" t="s">
        <v>535</v>
      </c>
      <c r="D175" s="192" t="s">
        <v>296</v>
      </c>
      <c r="E175" s="191">
        <v>400</v>
      </c>
      <c r="F175" s="202">
        <f>7464206.23+809274.26+2881849.97</f>
        <v>11155330.46</v>
      </c>
    </row>
    <row r="176" spans="1:6" ht="67.5" customHeight="1">
      <c r="A176" s="117" t="s">
        <v>484</v>
      </c>
      <c r="B176" s="191" t="s">
        <v>658</v>
      </c>
      <c r="C176" s="208" t="s">
        <v>535</v>
      </c>
      <c r="D176" s="204" t="s">
        <v>561</v>
      </c>
      <c r="E176" s="217"/>
      <c r="F176" s="190">
        <f>F177</f>
        <v>684000</v>
      </c>
    </row>
    <row r="177" spans="1:6" ht="25.5">
      <c r="A177" s="28" t="s">
        <v>238</v>
      </c>
      <c r="B177" s="191" t="s">
        <v>658</v>
      </c>
      <c r="C177" s="208" t="s">
        <v>535</v>
      </c>
      <c r="D177" s="192" t="s">
        <v>271</v>
      </c>
      <c r="E177" s="217"/>
      <c r="F177" s="190">
        <f>F178</f>
        <v>684000</v>
      </c>
    </row>
    <row r="178" spans="1:6" ht="24">
      <c r="A178" s="427" t="s">
        <v>270</v>
      </c>
      <c r="B178" s="191" t="s">
        <v>658</v>
      </c>
      <c r="C178" s="208" t="s">
        <v>535</v>
      </c>
      <c r="D178" s="192" t="s">
        <v>269</v>
      </c>
      <c r="E178" s="217"/>
      <c r="F178" s="190">
        <f>SUM(F179:F179)</f>
        <v>684000</v>
      </c>
    </row>
    <row r="179" spans="1:6" ht="25.5">
      <c r="A179" s="203" t="s">
        <v>232</v>
      </c>
      <c r="B179" s="191" t="s">
        <v>658</v>
      </c>
      <c r="C179" s="208" t="s">
        <v>535</v>
      </c>
      <c r="D179" s="192" t="s">
        <v>269</v>
      </c>
      <c r="E179" s="191">
        <v>200</v>
      </c>
      <c r="F179" s="202">
        <v>684000</v>
      </c>
    </row>
    <row r="180" spans="1:6" ht="12.75">
      <c r="A180" s="196" t="s">
        <v>565</v>
      </c>
      <c r="B180" s="195" t="s">
        <v>658</v>
      </c>
      <c r="C180" s="195" t="s">
        <v>103</v>
      </c>
      <c r="D180" s="195" t="s">
        <v>89</v>
      </c>
      <c r="E180" s="195" t="s">
        <v>89</v>
      </c>
      <c r="F180" s="190">
        <f>F181+F191+F200</f>
        <v>14582414.85</v>
      </c>
    </row>
    <row r="181" spans="1:6" ht="51">
      <c r="A181" s="194" t="s">
        <v>483</v>
      </c>
      <c r="B181" s="191" t="s">
        <v>658</v>
      </c>
      <c r="C181" s="191" t="s">
        <v>103</v>
      </c>
      <c r="D181" s="192" t="s">
        <v>34</v>
      </c>
      <c r="E181" s="191" t="s">
        <v>89</v>
      </c>
      <c r="F181" s="190">
        <f>F182</f>
        <v>8951475.85</v>
      </c>
    </row>
    <row r="182" spans="1:6" ht="76.5">
      <c r="A182" s="117" t="s">
        <v>484</v>
      </c>
      <c r="B182" s="191" t="s">
        <v>658</v>
      </c>
      <c r="C182" s="191" t="s">
        <v>103</v>
      </c>
      <c r="D182" s="204" t="s">
        <v>561</v>
      </c>
      <c r="E182" s="193" t="s">
        <v>89</v>
      </c>
      <c r="F182" s="190">
        <f>F183</f>
        <v>8951475.85</v>
      </c>
    </row>
    <row r="183" spans="1:6" ht="25.5">
      <c r="A183" s="28" t="s">
        <v>357</v>
      </c>
      <c r="B183" s="191" t="s">
        <v>658</v>
      </c>
      <c r="C183" s="191" t="s">
        <v>103</v>
      </c>
      <c r="D183" s="192" t="s">
        <v>458</v>
      </c>
      <c r="E183" s="193"/>
      <c r="F183" s="190">
        <f>F184+F187+F189</f>
        <v>8951475.85</v>
      </c>
    </row>
    <row r="184" spans="1:6" ht="12.75">
      <c r="A184" s="28" t="s">
        <v>737</v>
      </c>
      <c r="B184" s="191" t="s">
        <v>658</v>
      </c>
      <c r="C184" s="191" t="s">
        <v>103</v>
      </c>
      <c r="D184" s="192" t="s">
        <v>459</v>
      </c>
      <c r="E184" s="191" t="s">
        <v>89</v>
      </c>
      <c r="F184" s="190">
        <f>SUM(F185:F186)</f>
        <v>8951475.85</v>
      </c>
    </row>
    <row r="185" spans="1:6" ht="25.5">
      <c r="A185" s="203" t="s">
        <v>232</v>
      </c>
      <c r="B185" s="191" t="s">
        <v>658</v>
      </c>
      <c r="C185" s="191" t="s">
        <v>103</v>
      </c>
      <c r="D185" s="192" t="s">
        <v>459</v>
      </c>
      <c r="E185" s="191">
        <v>200</v>
      </c>
      <c r="F185" s="202">
        <f>3252738+123000</f>
        <v>3375738</v>
      </c>
    </row>
    <row r="186" spans="1:6" ht="12.75">
      <c r="A186" s="203" t="s">
        <v>79</v>
      </c>
      <c r="B186" s="191" t="s">
        <v>658</v>
      </c>
      <c r="C186" s="191" t="s">
        <v>103</v>
      </c>
      <c r="D186" s="192" t="s">
        <v>459</v>
      </c>
      <c r="E186" s="191">
        <v>800</v>
      </c>
      <c r="F186" s="202">
        <f>4877248+961089-262599.15</f>
        <v>5575737.85</v>
      </c>
    </row>
    <row r="187" spans="1:6" ht="12.75" hidden="1">
      <c r="A187" s="203" t="s">
        <v>819</v>
      </c>
      <c r="B187" s="191" t="s">
        <v>658</v>
      </c>
      <c r="C187" s="191" t="s">
        <v>103</v>
      </c>
      <c r="D187" s="192" t="s">
        <v>818</v>
      </c>
      <c r="E187" s="191"/>
      <c r="F187" s="202">
        <f>F188</f>
        <v>0</v>
      </c>
    </row>
    <row r="188" spans="1:6" ht="25.5" hidden="1">
      <c r="A188" s="203" t="s">
        <v>232</v>
      </c>
      <c r="B188" s="191" t="s">
        <v>658</v>
      </c>
      <c r="C188" s="191" t="s">
        <v>103</v>
      </c>
      <c r="D188" s="192" t="s">
        <v>818</v>
      </c>
      <c r="E188" s="191">
        <v>200</v>
      </c>
      <c r="F188" s="202"/>
    </row>
    <row r="189" spans="1:6" ht="12.75" hidden="1">
      <c r="A189" s="203" t="s">
        <v>817</v>
      </c>
      <c r="B189" s="191" t="s">
        <v>658</v>
      </c>
      <c r="C189" s="191" t="s">
        <v>103</v>
      </c>
      <c r="D189" s="192" t="s">
        <v>816</v>
      </c>
      <c r="E189" s="191"/>
      <c r="F189" s="202">
        <f>F190</f>
        <v>0</v>
      </c>
    </row>
    <row r="190" spans="1:6" ht="25.5" hidden="1">
      <c r="A190" s="203" t="s">
        <v>232</v>
      </c>
      <c r="B190" s="191" t="s">
        <v>658</v>
      </c>
      <c r="C190" s="191" t="s">
        <v>103</v>
      </c>
      <c r="D190" s="192" t="s">
        <v>816</v>
      </c>
      <c r="E190" s="191">
        <v>200</v>
      </c>
      <c r="F190" s="202"/>
    </row>
    <row r="191" spans="1:6" ht="44.25" customHeight="1">
      <c r="A191" s="194" t="s">
        <v>479</v>
      </c>
      <c r="B191" s="191" t="s">
        <v>658</v>
      </c>
      <c r="C191" s="191" t="s">
        <v>103</v>
      </c>
      <c r="D191" s="192" t="s">
        <v>643</v>
      </c>
      <c r="E191" s="191"/>
      <c r="F191" s="190">
        <f>F192+F197</f>
        <v>5630939</v>
      </c>
    </row>
    <row r="192" spans="1:6" ht="25.5">
      <c r="A192" s="28" t="s">
        <v>714</v>
      </c>
      <c r="B192" s="191" t="s">
        <v>658</v>
      </c>
      <c r="C192" s="191" t="s">
        <v>103</v>
      </c>
      <c r="D192" s="192" t="s">
        <v>340</v>
      </c>
      <c r="E192" s="191"/>
      <c r="F192" s="190">
        <f>F193+F195</f>
        <v>5630939</v>
      </c>
    </row>
    <row r="193" spans="1:6" ht="51" hidden="1">
      <c r="A193" s="28" t="s">
        <v>404</v>
      </c>
      <c r="B193" s="191" t="s">
        <v>658</v>
      </c>
      <c r="C193" s="191" t="s">
        <v>103</v>
      </c>
      <c r="D193" s="192" t="s">
        <v>405</v>
      </c>
      <c r="E193" s="191"/>
      <c r="F193" s="190">
        <f>F194</f>
        <v>0</v>
      </c>
    </row>
    <row r="194" spans="1:6" ht="12.75" hidden="1">
      <c r="A194" s="203" t="s">
        <v>79</v>
      </c>
      <c r="B194" s="191" t="s">
        <v>658</v>
      </c>
      <c r="C194" s="191" t="s">
        <v>103</v>
      </c>
      <c r="D194" s="192" t="s">
        <v>405</v>
      </c>
      <c r="E194" s="191">
        <v>800</v>
      </c>
      <c r="F194" s="190"/>
    </row>
    <row r="195" spans="1:6" ht="25.5">
      <c r="A195" s="429" t="s">
        <v>342</v>
      </c>
      <c r="B195" s="191" t="s">
        <v>658</v>
      </c>
      <c r="C195" s="191" t="s">
        <v>103</v>
      </c>
      <c r="D195" s="192" t="s">
        <v>341</v>
      </c>
      <c r="E195" s="191"/>
      <c r="F195" s="190">
        <f>F196</f>
        <v>5630939</v>
      </c>
    </row>
    <row r="196" spans="1:6" ht="25.5">
      <c r="A196" s="203" t="s">
        <v>232</v>
      </c>
      <c r="B196" s="191" t="s">
        <v>658</v>
      </c>
      <c r="C196" s="191" t="s">
        <v>103</v>
      </c>
      <c r="D196" s="192" t="s">
        <v>341</v>
      </c>
      <c r="E196" s="191">
        <v>200</v>
      </c>
      <c r="F196" s="202">
        <f>375681+5255258</f>
        <v>5630939</v>
      </c>
    </row>
    <row r="197" spans="1:6" ht="25.5" hidden="1">
      <c r="A197" s="203" t="s">
        <v>877</v>
      </c>
      <c r="B197" s="191" t="s">
        <v>658</v>
      </c>
      <c r="C197" s="191" t="s">
        <v>103</v>
      </c>
      <c r="D197" s="192" t="s">
        <v>878</v>
      </c>
      <c r="E197" s="191"/>
      <c r="F197" s="202">
        <f>F198</f>
        <v>0</v>
      </c>
    </row>
    <row r="198" spans="1:6" ht="25.5" hidden="1">
      <c r="A198" s="203" t="s">
        <v>879</v>
      </c>
      <c r="B198" s="191" t="s">
        <v>658</v>
      </c>
      <c r="C198" s="191" t="s">
        <v>103</v>
      </c>
      <c r="D198" s="192" t="s">
        <v>880</v>
      </c>
      <c r="E198" s="191"/>
      <c r="F198" s="202">
        <f>F199</f>
        <v>0</v>
      </c>
    </row>
    <row r="199" spans="1:6" ht="25.5" hidden="1">
      <c r="A199" s="203" t="s">
        <v>232</v>
      </c>
      <c r="B199" s="191" t="s">
        <v>658</v>
      </c>
      <c r="C199" s="191" t="s">
        <v>103</v>
      </c>
      <c r="D199" s="192" t="s">
        <v>880</v>
      </c>
      <c r="E199" s="191">
        <v>200</v>
      </c>
      <c r="F199" s="202"/>
    </row>
    <row r="200" spans="1:6" ht="25.5" hidden="1">
      <c r="A200" s="194" t="s">
        <v>631</v>
      </c>
      <c r="B200" s="191" t="s">
        <v>658</v>
      </c>
      <c r="C200" s="191" t="s">
        <v>103</v>
      </c>
      <c r="D200" s="192" t="s">
        <v>14</v>
      </c>
      <c r="E200" s="191"/>
      <c r="F200" s="190">
        <f>F201</f>
        <v>0</v>
      </c>
    </row>
    <row r="201" spans="1:6" ht="25.5" hidden="1">
      <c r="A201" s="117" t="s">
        <v>641</v>
      </c>
      <c r="B201" s="191" t="s">
        <v>658</v>
      </c>
      <c r="C201" s="191" t="s">
        <v>103</v>
      </c>
      <c r="D201" s="192" t="s">
        <v>722</v>
      </c>
      <c r="E201" s="191"/>
      <c r="F201" s="190">
        <f>F209+F202</f>
        <v>0</v>
      </c>
    </row>
    <row r="202" spans="1:6" ht="12.75" hidden="1">
      <c r="A202" s="203" t="s">
        <v>723</v>
      </c>
      <c r="B202" s="191" t="s">
        <v>658</v>
      </c>
      <c r="C202" s="191" t="s">
        <v>103</v>
      </c>
      <c r="D202" s="192" t="s">
        <v>403</v>
      </c>
      <c r="E202" s="191"/>
      <c r="F202" s="190">
        <f>F203+F205+F207</f>
        <v>0</v>
      </c>
    </row>
    <row r="203" spans="1:6" ht="38.25" hidden="1">
      <c r="A203" s="203" t="s">
        <v>52</v>
      </c>
      <c r="B203" s="191" t="s">
        <v>658</v>
      </c>
      <c r="C203" s="191" t="s">
        <v>103</v>
      </c>
      <c r="D203" s="192" t="s">
        <v>51</v>
      </c>
      <c r="E203" s="191"/>
      <c r="F203" s="202">
        <f>F204</f>
        <v>0</v>
      </c>
    </row>
    <row r="204" spans="1:6" ht="25.5" hidden="1">
      <c r="A204" s="203" t="s">
        <v>232</v>
      </c>
      <c r="B204" s="191" t="s">
        <v>658</v>
      </c>
      <c r="C204" s="191" t="s">
        <v>103</v>
      </c>
      <c r="D204" s="192" t="s">
        <v>51</v>
      </c>
      <c r="E204" s="191">
        <v>200</v>
      </c>
      <c r="F204" s="202"/>
    </row>
    <row r="205" spans="1:6" ht="51" hidden="1">
      <c r="A205" s="203" t="s">
        <v>53</v>
      </c>
      <c r="B205" s="191" t="s">
        <v>658</v>
      </c>
      <c r="C205" s="191" t="s">
        <v>103</v>
      </c>
      <c r="D205" s="192" t="s">
        <v>54</v>
      </c>
      <c r="E205" s="191"/>
      <c r="F205" s="202">
        <f>F206</f>
        <v>0</v>
      </c>
    </row>
    <row r="206" spans="1:6" ht="25.5" hidden="1">
      <c r="A206" s="203" t="s">
        <v>232</v>
      </c>
      <c r="B206" s="191" t="s">
        <v>658</v>
      </c>
      <c r="C206" s="191" t="s">
        <v>103</v>
      </c>
      <c r="D206" s="192" t="s">
        <v>54</v>
      </c>
      <c r="E206" s="191">
        <v>200</v>
      </c>
      <c r="F206" s="202"/>
    </row>
    <row r="207" spans="1:6" ht="38.25" hidden="1">
      <c r="A207" s="203" t="s">
        <v>55</v>
      </c>
      <c r="B207" s="191" t="s">
        <v>658</v>
      </c>
      <c r="C207" s="191" t="s">
        <v>103</v>
      </c>
      <c r="D207" s="192" t="s">
        <v>56</v>
      </c>
      <c r="E207" s="191"/>
      <c r="F207" s="202">
        <f>F208</f>
        <v>0</v>
      </c>
    </row>
    <row r="208" spans="1:6" ht="25.5" hidden="1">
      <c r="A208" s="203" t="s">
        <v>232</v>
      </c>
      <c r="B208" s="191" t="s">
        <v>658</v>
      </c>
      <c r="C208" s="191" t="s">
        <v>103</v>
      </c>
      <c r="D208" s="192" t="s">
        <v>56</v>
      </c>
      <c r="E208" s="191">
        <v>200</v>
      </c>
      <c r="F208" s="202"/>
    </row>
    <row r="209" spans="1:6" ht="12.75" hidden="1">
      <c r="A209" s="28" t="s">
        <v>753</v>
      </c>
      <c r="B209" s="191" t="s">
        <v>658</v>
      </c>
      <c r="C209" s="191" t="s">
        <v>103</v>
      </c>
      <c r="D209" s="192" t="s">
        <v>402</v>
      </c>
      <c r="E209" s="191"/>
      <c r="F209" s="190">
        <f>F210+F212+F214</f>
        <v>0</v>
      </c>
    </row>
    <row r="210" spans="1:6" ht="38.25" hidden="1">
      <c r="A210" s="28" t="s">
        <v>57</v>
      </c>
      <c r="B210" s="191" t="s">
        <v>658</v>
      </c>
      <c r="C210" s="191" t="s">
        <v>103</v>
      </c>
      <c r="D210" s="192" t="s">
        <v>58</v>
      </c>
      <c r="E210" s="191"/>
      <c r="F210" s="202">
        <f>F211</f>
        <v>0</v>
      </c>
    </row>
    <row r="211" spans="1:6" ht="25.5" hidden="1">
      <c r="A211" s="203" t="s">
        <v>232</v>
      </c>
      <c r="B211" s="191" t="s">
        <v>658</v>
      </c>
      <c r="C211" s="191" t="s">
        <v>103</v>
      </c>
      <c r="D211" s="192" t="s">
        <v>58</v>
      </c>
      <c r="E211" s="191">
        <v>200</v>
      </c>
      <c r="F211" s="202"/>
    </row>
    <row r="212" spans="1:6" ht="51" hidden="1">
      <c r="A212" s="28" t="s">
        <v>59</v>
      </c>
      <c r="B212" s="191" t="s">
        <v>658</v>
      </c>
      <c r="C212" s="191" t="s">
        <v>103</v>
      </c>
      <c r="D212" s="192" t="s">
        <v>60</v>
      </c>
      <c r="E212" s="191"/>
      <c r="F212" s="202">
        <f>F213</f>
        <v>0</v>
      </c>
    </row>
    <row r="213" spans="1:6" ht="25.5" hidden="1">
      <c r="A213" s="203" t="s">
        <v>232</v>
      </c>
      <c r="B213" s="191" t="s">
        <v>658</v>
      </c>
      <c r="C213" s="191" t="s">
        <v>103</v>
      </c>
      <c r="D213" s="192" t="s">
        <v>60</v>
      </c>
      <c r="E213" s="191">
        <v>200</v>
      </c>
      <c r="F213" s="202"/>
    </row>
    <row r="214" spans="1:6" ht="38.25" hidden="1">
      <c r="A214" s="28" t="s">
        <v>61</v>
      </c>
      <c r="B214" s="191" t="s">
        <v>658</v>
      </c>
      <c r="C214" s="191" t="s">
        <v>103</v>
      </c>
      <c r="D214" s="192" t="s">
        <v>62</v>
      </c>
      <c r="E214" s="191"/>
      <c r="F214" s="202">
        <f>F215</f>
        <v>0</v>
      </c>
    </row>
    <row r="215" spans="1:6" ht="25.5" hidden="1">
      <c r="A215" s="189" t="s">
        <v>232</v>
      </c>
      <c r="B215" s="187" t="s">
        <v>658</v>
      </c>
      <c r="C215" s="187" t="s">
        <v>103</v>
      </c>
      <c r="D215" s="188" t="s">
        <v>62</v>
      </c>
      <c r="E215" s="187">
        <v>200</v>
      </c>
      <c r="F215" s="186"/>
    </row>
    <row r="216" spans="1:6" ht="12.75" hidden="1">
      <c r="A216" s="200" t="s">
        <v>331</v>
      </c>
      <c r="B216" s="154" t="s">
        <v>539</v>
      </c>
      <c r="C216" s="155"/>
      <c r="D216" s="156"/>
      <c r="E216" s="155"/>
      <c r="F216" s="157">
        <f>F217</f>
        <v>0</v>
      </c>
    </row>
    <row r="217" spans="1:6" ht="12.75" hidden="1">
      <c r="A217" s="120" t="s">
        <v>97</v>
      </c>
      <c r="B217" s="158" t="s">
        <v>539</v>
      </c>
      <c r="C217" s="158" t="s">
        <v>658</v>
      </c>
      <c r="D217" s="150"/>
      <c r="E217" s="118"/>
      <c r="F217" s="119">
        <f>F218</f>
        <v>0</v>
      </c>
    </row>
    <row r="218" spans="1:6" ht="51" hidden="1">
      <c r="A218" s="121" t="s">
        <v>483</v>
      </c>
      <c r="B218" s="158" t="s">
        <v>539</v>
      </c>
      <c r="C218" s="158" t="s">
        <v>658</v>
      </c>
      <c r="D218" s="150" t="s">
        <v>34</v>
      </c>
      <c r="E218" s="118"/>
      <c r="F218" s="119">
        <f>F219</f>
        <v>0</v>
      </c>
    </row>
    <row r="219" spans="1:6" ht="38.25" hidden="1">
      <c r="A219" s="122" t="s">
        <v>96</v>
      </c>
      <c r="B219" s="158" t="s">
        <v>539</v>
      </c>
      <c r="C219" s="158" t="s">
        <v>658</v>
      </c>
      <c r="D219" s="123" t="s">
        <v>332</v>
      </c>
      <c r="E219" s="118"/>
      <c r="F219" s="119">
        <f>F220</f>
        <v>0</v>
      </c>
    </row>
    <row r="220" spans="1:6" ht="25.5" hidden="1">
      <c r="A220" s="28" t="s">
        <v>333</v>
      </c>
      <c r="B220" s="158" t="s">
        <v>539</v>
      </c>
      <c r="C220" s="158" t="s">
        <v>658</v>
      </c>
      <c r="D220" s="150" t="s">
        <v>334</v>
      </c>
      <c r="E220" s="118"/>
      <c r="F220" s="119">
        <f>F221</f>
        <v>0</v>
      </c>
    </row>
    <row r="221" spans="1:6" ht="25.5" hidden="1">
      <c r="A221" s="151" t="s">
        <v>232</v>
      </c>
      <c r="B221" s="159" t="s">
        <v>539</v>
      </c>
      <c r="C221" s="159" t="s">
        <v>658</v>
      </c>
      <c r="D221" s="152" t="s">
        <v>334</v>
      </c>
      <c r="E221" s="160">
        <v>200</v>
      </c>
      <c r="F221" s="153"/>
    </row>
    <row r="222" spans="1:6" ht="12.75">
      <c r="A222" s="200" t="s">
        <v>566</v>
      </c>
      <c r="B222" s="198" t="s">
        <v>659</v>
      </c>
      <c r="C222" s="199" t="s">
        <v>466</v>
      </c>
      <c r="D222" s="198" t="s">
        <v>89</v>
      </c>
      <c r="E222" s="198" t="s">
        <v>89</v>
      </c>
      <c r="F222" s="206">
        <f>F223+F236+F273+F282+F298</f>
        <v>265451804.8</v>
      </c>
    </row>
    <row r="223" spans="1:6" ht="12.75">
      <c r="A223" s="196" t="s">
        <v>567</v>
      </c>
      <c r="B223" s="195" t="s">
        <v>659</v>
      </c>
      <c r="C223" s="195" t="s">
        <v>535</v>
      </c>
      <c r="D223" s="195" t="s">
        <v>89</v>
      </c>
      <c r="E223" s="195" t="s">
        <v>89</v>
      </c>
      <c r="F223" s="190">
        <f>F224</f>
        <v>94927125.77</v>
      </c>
    </row>
    <row r="224" spans="1:6" ht="38.25">
      <c r="A224" s="194" t="s">
        <v>281</v>
      </c>
      <c r="B224" s="191" t="s">
        <v>659</v>
      </c>
      <c r="C224" s="191" t="s">
        <v>535</v>
      </c>
      <c r="D224" s="192" t="s">
        <v>562</v>
      </c>
      <c r="E224" s="191" t="s">
        <v>89</v>
      </c>
      <c r="F224" s="190">
        <f>F225</f>
        <v>94927125.77</v>
      </c>
    </row>
    <row r="225" spans="1:6" ht="38.25">
      <c r="A225" s="117" t="s">
        <v>282</v>
      </c>
      <c r="B225" s="191" t="s">
        <v>659</v>
      </c>
      <c r="C225" s="191" t="s">
        <v>535</v>
      </c>
      <c r="D225" s="204" t="s">
        <v>563</v>
      </c>
      <c r="E225" s="193" t="s">
        <v>89</v>
      </c>
      <c r="F225" s="190">
        <f>F226</f>
        <v>94927125.77</v>
      </c>
    </row>
    <row r="226" spans="1:6" ht="25.5">
      <c r="A226" s="28" t="s">
        <v>460</v>
      </c>
      <c r="B226" s="191" t="s">
        <v>659</v>
      </c>
      <c r="C226" s="191" t="s">
        <v>535</v>
      </c>
      <c r="D226" s="192" t="s">
        <v>564</v>
      </c>
      <c r="E226" s="193"/>
      <c r="F226" s="190">
        <f>F227+F230+F234</f>
        <v>94927125.77</v>
      </c>
    </row>
    <row r="227" spans="1:6" ht="89.25">
      <c r="A227" s="203" t="s">
        <v>302</v>
      </c>
      <c r="B227" s="191" t="s">
        <v>659</v>
      </c>
      <c r="C227" s="191" t="s">
        <v>535</v>
      </c>
      <c r="D227" s="192" t="s">
        <v>303</v>
      </c>
      <c r="E227" s="191" t="s">
        <v>89</v>
      </c>
      <c r="F227" s="190">
        <f>SUM(F228:F229)</f>
        <v>55488082</v>
      </c>
    </row>
    <row r="228" spans="1:6" ht="51">
      <c r="A228" s="203" t="s">
        <v>740</v>
      </c>
      <c r="B228" s="191" t="s">
        <v>659</v>
      </c>
      <c r="C228" s="191" t="s">
        <v>535</v>
      </c>
      <c r="D228" s="192" t="s">
        <v>303</v>
      </c>
      <c r="E228" s="191" t="s">
        <v>597</v>
      </c>
      <c r="F228" s="202">
        <v>55063202</v>
      </c>
    </row>
    <row r="229" spans="1:6" ht="25.5">
      <c r="A229" s="203" t="s">
        <v>232</v>
      </c>
      <c r="B229" s="191" t="s">
        <v>659</v>
      </c>
      <c r="C229" s="191" t="s">
        <v>535</v>
      </c>
      <c r="D229" s="192" t="s">
        <v>303</v>
      </c>
      <c r="E229" s="191" t="s">
        <v>76</v>
      </c>
      <c r="F229" s="202">
        <v>424880</v>
      </c>
    </row>
    <row r="230" spans="1:6" ht="25.5">
      <c r="A230" s="193" t="s">
        <v>498</v>
      </c>
      <c r="B230" s="191" t="s">
        <v>659</v>
      </c>
      <c r="C230" s="191" t="s">
        <v>535</v>
      </c>
      <c r="D230" s="192" t="s">
        <v>304</v>
      </c>
      <c r="E230" s="191"/>
      <c r="F230" s="190">
        <f>SUM(F231:F233)</f>
        <v>39439043.769999996</v>
      </c>
    </row>
    <row r="231" spans="1:6" ht="51">
      <c r="A231" s="203" t="s">
        <v>740</v>
      </c>
      <c r="B231" s="191" t="s">
        <v>659</v>
      </c>
      <c r="C231" s="191" t="s">
        <v>535</v>
      </c>
      <c r="D231" s="192" t="s">
        <v>304</v>
      </c>
      <c r="E231" s="191">
        <v>100</v>
      </c>
      <c r="F231" s="202">
        <f>13405963+4048601</f>
        <v>17454564</v>
      </c>
    </row>
    <row r="232" spans="1:6" ht="25.5">
      <c r="A232" s="203" t="s">
        <v>232</v>
      </c>
      <c r="B232" s="191" t="s">
        <v>659</v>
      </c>
      <c r="C232" s="191" t="s">
        <v>535</v>
      </c>
      <c r="D232" s="192" t="s">
        <v>304</v>
      </c>
      <c r="E232" s="191">
        <v>200</v>
      </c>
      <c r="F232" s="202">
        <f>180000+150000+6230054+200000+196000+60648+4391496+914146.77+7382304</f>
        <v>19704648.77</v>
      </c>
    </row>
    <row r="233" spans="1:6" ht="12.75">
      <c r="A233" s="203" t="s">
        <v>79</v>
      </c>
      <c r="B233" s="191" t="s">
        <v>659</v>
      </c>
      <c r="C233" s="191" t="s">
        <v>535</v>
      </c>
      <c r="D233" s="192" t="s">
        <v>304</v>
      </c>
      <c r="E233" s="191">
        <v>800</v>
      </c>
      <c r="F233" s="202">
        <v>2279831</v>
      </c>
    </row>
    <row r="234" spans="1:6" ht="38.25" hidden="1">
      <c r="A234" s="388" t="s">
        <v>153</v>
      </c>
      <c r="B234" s="213" t="s">
        <v>659</v>
      </c>
      <c r="C234" s="213" t="s">
        <v>535</v>
      </c>
      <c r="D234" s="214" t="s">
        <v>154</v>
      </c>
      <c r="E234" s="213"/>
      <c r="F234" s="202">
        <f>F235</f>
        <v>0</v>
      </c>
    </row>
    <row r="235" spans="1:6" ht="25.5" hidden="1">
      <c r="A235" s="430" t="s">
        <v>155</v>
      </c>
      <c r="B235" s="213" t="s">
        <v>659</v>
      </c>
      <c r="C235" s="213" t="s">
        <v>535</v>
      </c>
      <c r="D235" s="214" t="s">
        <v>154</v>
      </c>
      <c r="E235" s="213">
        <v>200</v>
      </c>
      <c r="F235" s="202"/>
    </row>
    <row r="236" spans="1:6" ht="12.75">
      <c r="A236" s="196" t="s">
        <v>568</v>
      </c>
      <c r="B236" s="195" t="s">
        <v>659</v>
      </c>
      <c r="C236" s="195" t="s">
        <v>537</v>
      </c>
      <c r="D236" s="195" t="s">
        <v>89</v>
      </c>
      <c r="E236" s="195" t="s">
        <v>89</v>
      </c>
      <c r="F236" s="190">
        <f>F237</f>
        <v>141612136.03</v>
      </c>
    </row>
    <row r="237" spans="1:6" ht="38.25">
      <c r="A237" s="194" t="s">
        <v>283</v>
      </c>
      <c r="B237" s="191" t="s">
        <v>659</v>
      </c>
      <c r="C237" s="191" t="s">
        <v>537</v>
      </c>
      <c r="D237" s="192" t="s">
        <v>562</v>
      </c>
      <c r="E237" s="191" t="s">
        <v>89</v>
      </c>
      <c r="F237" s="190">
        <f>F238+F269</f>
        <v>141612136.03</v>
      </c>
    </row>
    <row r="238" spans="1:6" ht="38.25">
      <c r="A238" s="117" t="s">
        <v>282</v>
      </c>
      <c r="B238" s="191" t="s">
        <v>659</v>
      </c>
      <c r="C238" s="191" t="s">
        <v>537</v>
      </c>
      <c r="D238" s="192" t="s">
        <v>563</v>
      </c>
      <c r="E238" s="193" t="s">
        <v>89</v>
      </c>
      <c r="F238" s="190">
        <f>F239+F244+F263+F266</f>
        <v>137832136.03</v>
      </c>
    </row>
    <row r="239" spans="1:6" ht="25.5">
      <c r="A239" s="28" t="s">
        <v>462</v>
      </c>
      <c r="B239" s="191" t="s">
        <v>659</v>
      </c>
      <c r="C239" s="191" t="s">
        <v>537</v>
      </c>
      <c r="D239" s="192" t="s">
        <v>305</v>
      </c>
      <c r="E239" s="193"/>
      <c r="F239" s="190">
        <f>F240+F242</f>
        <v>111415026</v>
      </c>
    </row>
    <row r="240" spans="1:6" ht="89.25">
      <c r="A240" s="203" t="s">
        <v>686</v>
      </c>
      <c r="B240" s="191" t="s">
        <v>659</v>
      </c>
      <c r="C240" s="191" t="s">
        <v>537</v>
      </c>
      <c r="D240" s="192" t="s">
        <v>306</v>
      </c>
      <c r="E240" s="191" t="s">
        <v>89</v>
      </c>
      <c r="F240" s="190">
        <f>F241</f>
        <v>96274514</v>
      </c>
    </row>
    <row r="241" spans="1:6" ht="25.5">
      <c r="A241" s="203" t="s">
        <v>92</v>
      </c>
      <c r="B241" s="191" t="s">
        <v>659</v>
      </c>
      <c r="C241" s="191" t="s">
        <v>537</v>
      </c>
      <c r="D241" s="192" t="s">
        <v>306</v>
      </c>
      <c r="E241" s="191">
        <v>600</v>
      </c>
      <c r="F241" s="202">
        <v>96274514</v>
      </c>
    </row>
    <row r="242" spans="1:6" ht="25.5">
      <c r="A242" s="193" t="s">
        <v>498</v>
      </c>
      <c r="B242" s="191" t="s">
        <v>659</v>
      </c>
      <c r="C242" s="191" t="s">
        <v>537</v>
      </c>
      <c r="D242" s="192" t="s">
        <v>307</v>
      </c>
      <c r="E242" s="191"/>
      <c r="F242" s="190">
        <f>F243</f>
        <v>15140512</v>
      </c>
    </row>
    <row r="243" spans="1:6" ht="25.5">
      <c r="A243" s="203" t="s">
        <v>92</v>
      </c>
      <c r="B243" s="191" t="s">
        <v>659</v>
      </c>
      <c r="C243" s="191" t="s">
        <v>537</v>
      </c>
      <c r="D243" s="192" t="s">
        <v>307</v>
      </c>
      <c r="E243" s="191">
        <v>600</v>
      </c>
      <c r="F243" s="202">
        <f>12020378+1935654+1396150+1376805-1500175-88300</f>
        <v>15140512</v>
      </c>
    </row>
    <row r="244" spans="1:6" ht="25.5">
      <c r="A244" s="28" t="s">
        <v>463</v>
      </c>
      <c r="B244" s="191" t="s">
        <v>659</v>
      </c>
      <c r="C244" s="191" t="s">
        <v>537</v>
      </c>
      <c r="D244" s="192" t="s">
        <v>308</v>
      </c>
      <c r="E244" s="191"/>
      <c r="F244" s="202">
        <f>F245+F247+F249+F251+F253+F261+F256+F259</f>
        <v>26417110.03</v>
      </c>
    </row>
    <row r="245" spans="1:6" ht="38.25">
      <c r="A245" s="28" t="s">
        <v>400</v>
      </c>
      <c r="B245" s="191" t="s">
        <v>659</v>
      </c>
      <c r="C245" s="191" t="s">
        <v>537</v>
      </c>
      <c r="D245" s="192" t="s">
        <v>401</v>
      </c>
      <c r="E245" s="191"/>
      <c r="F245" s="202">
        <f>F246</f>
        <v>6257471</v>
      </c>
    </row>
    <row r="246" spans="1:6" ht="25.5">
      <c r="A246" s="203" t="s">
        <v>92</v>
      </c>
      <c r="B246" s="191" t="s">
        <v>659</v>
      </c>
      <c r="C246" s="191" t="s">
        <v>537</v>
      </c>
      <c r="D246" s="192" t="s">
        <v>401</v>
      </c>
      <c r="E246" s="191">
        <v>600</v>
      </c>
      <c r="F246" s="202">
        <f>772632+5484839</f>
        <v>6257471</v>
      </c>
    </row>
    <row r="247" spans="1:6" ht="25.5">
      <c r="A247" s="74" t="s">
        <v>724</v>
      </c>
      <c r="B247" s="191" t="s">
        <v>659</v>
      </c>
      <c r="C247" s="191" t="s">
        <v>537</v>
      </c>
      <c r="D247" s="192" t="s">
        <v>725</v>
      </c>
      <c r="E247" s="191"/>
      <c r="F247" s="190">
        <f>F248</f>
        <v>2355150.03</v>
      </c>
    </row>
    <row r="248" spans="1:8" ht="25.5">
      <c r="A248" s="203" t="s">
        <v>92</v>
      </c>
      <c r="B248" s="191" t="s">
        <v>659</v>
      </c>
      <c r="C248" s="191" t="s">
        <v>537</v>
      </c>
      <c r="D248" s="192" t="s">
        <v>725</v>
      </c>
      <c r="E248" s="191">
        <v>600</v>
      </c>
      <c r="F248" s="202">
        <f>9017000-3780000-2881849.97</f>
        <v>2355150.03</v>
      </c>
      <c r="G248" s="434"/>
      <c r="H248" s="434"/>
    </row>
    <row r="249" spans="1:6" ht="63.75">
      <c r="A249" s="28" t="s">
        <v>751</v>
      </c>
      <c r="B249" s="191" t="s">
        <v>659</v>
      </c>
      <c r="C249" s="191" t="s">
        <v>537</v>
      </c>
      <c r="D249" s="192" t="s">
        <v>752</v>
      </c>
      <c r="E249" s="191"/>
      <c r="F249" s="190">
        <f>F250</f>
        <v>318065</v>
      </c>
    </row>
    <row r="250" spans="1:6" ht="25.5">
      <c r="A250" s="203" t="s">
        <v>92</v>
      </c>
      <c r="B250" s="191" t="s">
        <v>659</v>
      </c>
      <c r="C250" s="191" t="s">
        <v>537</v>
      </c>
      <c r="D250" s="192" t="s">
        <v>752</v>
      </c>
      <c r="E250" s="191">
        <v>600</v>
      </c>
      <c r="F250" s="202">
        <v>318065</v>
      </c>
    </row>
    <row r="251" spans="1:6" ht="51">
      <c r="A251" s="74" t="s">
        <v>299</v>
      </c>
      <c r="B251" s="191" t="s">
        <v>659</v>
      </c>
      <c r="C251" s="191" t="s">
        <v>537</v>
      </c>
      <c r="D251" s="192" t="s">
        <v>309</v>
      </c>
      <c r="E251" s="191"/>
      <c r="F251" s="190">
        <f>F252</f>
        <v>2127215</v>
      </c>
    </row>
    <row r="252" spans="1:6" ht="25.5">
      <c r="A252" s="203" t="s">
        <v>92</v>
      </c>
      <c r="B252" s="191" t="s">
        <v>659</v>
      </c>
      <c r="C252" s="191" t="s">
        <v>537</v>
      </c>
      <c r="D252" s="192" t="s">
        <v>309</v>
      </c>
      <c r="E252" s="191">
        <v>600</v>
      </c>
      <c r="F252" s="202">
        <v>2127215</v>
      </c>
    </row>
    <row r="253" spans="1:6" ht="25.5">
      <c r="A253" s="193" t="s">
        <v>498</v>
      </c>
      <c r="B253" s="191" t="s">
        <v>659</v>
      </c>
      <c r="C253" s="191" t="s">
        <v>537</v>
      </c>
      <c r="D253" s="192" t="s">
        <v>399</v>
      </c>
      <c r="E253" s="191"/>
      <c r="F253" s="202">
        <f>F254</f>
        <v>1500175</v>
      </c>
    </row>
    <row r="254" spans="1:6" ht="25.5">
      <c r="A254" s="203" t="s">
        <v>92</v>
      </c>
      <c r="B254" s="191" t="s">
        <v>659</v>
      </c>
      <c r="C254" s="191" t="s">
        <v>537</v>
      </c>
      <c r="D254" s="192" t="s">
        <v>399</v>
      </c>
      <c r="E254" s="191">
        <v>600</v>
      </c>
      <c r="F254" s="202">
        <v>1500175</v>
      </c>
    </row>
    <row r="255" spans="1:6" ht="12.75">
      <c r="A255" s="482" t="s">
        <v>755</v>
      </c>
      <c r="B255" s="213" t="s">
        <v>659</v>
      </c>
      <c r="C255" s="213" t="s">
        <v>537</v>
      </c>
      <c r="D255" s="214" t="s">
        <v>335</v>
      </c>
      <c r="E255" s="213"/>
      <c r="F255" s="202">
        <f>F256</f>
        <v>3423556</v>
      </c>
    </row>
    <row r="256" spans="1:6" ht="67.5" customHeight="1">
      <c r="A256" s="482" t="s">
        <v>905</v>
      </c>
      <c r="B256" s="213" t="s">
        <v>659</v>
      </c>
      <c r="C256" s="213" t="s">
        <v>537</v>
      </c>
      <c r="D256" s="214" t="s">
        <v>336</v>
      </c>
      <c r="E256" s="213"/>
      <c r="F256" s="202">
        <f>F257</f>
        <v>3423556</v>
      </c>
    </row>
    <row r="257" spans="1:6" ht="25.5">
      <c r="A257" s="388" t="s">
        <v>92</v>
      </c>
      <c r="B257" s="213" t="s">
        <v>659</v>
      </c>
      <c r="C257" s="213" t="s">
        <v>537</v>
      </c>
      <c r="D257" s="214" t="s">
        <v>336</v>
      </c>
      <c r="E257" s="213">
        <v>600</v>
      </c>
      <c r="F257" s="202">
        <f>3355086+68470</f>
        <v>3423556</v>
      </c>
    </row>
    <row r="258" spans="1:6" ht="12.75">
      <c r="A258" s="482" t="s">
        <v>110</v>
      </c>
      <c r="B258" s="213" t="s">
        <v>659</v>
      </c>
      <c r="C258" s="213" t="s">
        <v>537</v>
      </c>
      <c r="D258" s="214" t="s">
        <v>64</v>
      </c>
      <c r="E258" s="213"/>
      <c r="F258" s="202">
        <f>F259</f>
        <v>3873398</v>
      </c>
    </row>
    <row r="259" spans="1:6" ht="38.25">
      <c r="A259" s="482" t="s">
        <v>906</v>
      </c>
      <c r="B259" s="213" t="s">
        <v>659</v>
      </c>
      <c r="C259" s="213" t="s">
        <v>537</v>
      </c>
      <c r="D259" s="214" t="s">
        <v>65</v>
      </c>
      <c r="E259" s="213"/>
      <c r="F259" s="202">
        <f>F260</f>
        <v>3873398</v>
      </c>
    </row>
    <row r="260" spans="1:6" ht="25.5">
      <c r="A260" s="388" t="s">
        <v>92</v>
      </c>
      <c r="B260" s="213" t="s">
        <v>659</v>
      </c>
      <c r="C260" s="213" t="s">
        <v>537</v>
      </c>
      <c r="D260" s="214" t="s">
        <v>65</v>
      </c>
      <c r="E260" s="213">
        <v>600</v>
      </c>
      <c r="F260" s="202">
        <f>3795930+77468</f>
        <v>3873398</v>
      </c>
    </row>
    <row r="261" spans="1:6" ht="38.25">
      <c r="A261" s="203" t="s">
        <v>513</v>
      </c>
      <c r="B261" s="191" t="s">
        <v>659</v>
      </c>
      <c r="C261" s="191" t="s">
        <v>537</v>
      </c>
      <c r="D261" s="192" t="s">
        <v>514</v>
      </c>
      <c r="E261" s="191"/>
      <c r="F261" s="202">
        <f>F262</f>
        <v>6562080</v>
      </c>
    </row>
    <row r="262" spans="1:6" ht="25.5">
      <c r="A262" s="203" t="s">
        <v>92</v>
      </c>
      <c r="B262" s="191" t="s">
        <v>659</v>
      </c>
      <c r="C262" s="191" t="s">
        <v>537</v>
      </c>
      <c r="D262" s="192" t="s">
        <v>514</v>
      </c>
      <c r="E262" s="191">
        <v>600</v>
      </c>
      <c r="F262" s="202">
        <v>6562080</v>
      </c>
    </row>
    <row r="263" spans="1:6" ht="12.75" hidden="1">
      <c r="A263" s="428" t="s">
        <v>109</v>
      </c>
      <c r="B263" s="191" t="s">
        <v>659</v>
      </c>
      <c r="C263" s="191" t="s">
        <v>537</v>
      </c>
      <c r="D263" s="192" t="s">
        <v>708</v>
      </c>
      <c r="E263" s="191"/>
      <c r="F263" s="190">
        <f>F264</f>
        <v>0</v>
      </c>
    </row>
    <row r="264" spans="1:6" ht="38.25" hidden="1">
      <c r="A264" s="428" t="s">
        <v>771</v>
      </c>
      <c r="B264" s="191" t="s">
        <v>659</v>
      </c>
      <c r="C264" s="191" t="s">
        <v>537</v>
      </c>
      <c r="D264" s="192" t="s">
        <v>709</v>
      </c>
      <c r="E264" s="191"/>
      <c r="F264" s="190">
        <f>F265</f>
        <v>0</v>
      </c>
    </row>
    <row r="265" spans="1:6" ht="25.5" hidden="1">
      <c r="A265" s="203" t="s">
        <v>92</v>
      </c>
      <c r="B265" s="191" t="s">
        <v>659</v>
      </c>
      <c r="C265" s="191" t="s">
        <v>537</v>
      </c>
      <c r="D265" s="192" t="s">
        <v>709</v>
      </c>
      <c r="E265" s="191">
        <v>600</v>
      </c>
      <c r="F265" s="202"/>
    </row>
    <row r="266" spans="1:6" ht="12.75" hidden="1">
      <c r="A266" s="428" t="s">
        <v>110</v>
      </c>
      <c r="B266" s="191" t="s">
        <v>659</v>
      </c>
      <c r="C266" s="191" t="s">
        <v>537</v>
      </c>
      <c r="D266" s="192" t="s">
        <v>64</v>
      </c>
      <c r="E266" s="191"/>
      <c r="F266" s="190">
        <f>F267</f>
        <v>0</v>
      </c>
    </row>
    <row r="267" spans="1:6" ht="25.5" hidden="1">
      <c r="A267" s="428" t="s">
        <v>498</v>
      </c>
      <c r="B267" s="191" t="s">
        <v>659</v>
      </c>
      <c r="C267" s="191" t="s">
        <v>537</v>
      </c>
      <c r="D267" s="192" t="s">
        <v>881</v>
      </c>
      <c r="E267" s="191"/>
      <c r="F267" s="190">
        <f>F268</f>
        <v>0</v>
      </c>
    </row>
    <row r="268" spans="1:6" ht="25.5" hidden="1">
      <c r="A268" s="203" t="s">
        <v>92</v>
      </c>
      <c r="B268" s="191" t="s">
        <v>659</v>
      </c>
      <c r="C268" s="191" t="s">
        <v>537</v>
      </c>
      <c r="D268" s="192" t="s">
        <v>881</v>
      </c>
      <c r="E268" s="191">
        <v>600</v>
      </c>
      <c r="F268" s="202"/>
    </row>
    <row r="269" spans="1:6" ht="63.75">
      <c r="A269" s="117" t="s">
        <v>469</v>
      </c>
      <c r="B269" s="191" t="s">
        <v>659</v>
      </c>
      <c r="C269" s="191" t="s">
        <v>537</v>
      </c>
      <c r="D269" s="192" t="s">
        <v>470</v>
      </c>
      <c r="E269" s="191"/>
      <c r="F269" s="202">
        <f>F270</f>
        <v>3780000</v>
      </c>
    </row>
    <row r="270" spans="1:6" ht="39.75" customHeight="1">
      <c r="A270" s="203" t="s">
        <v>512</v>
      </c>
      <c r="B270" s="191" t="s">
        <v>659</v>
      </c>
      <c r="C270" s="191" t="s">
        <v>537</v>
      </c>
      <c r="D270" s="192" t="s">
        <v>471</v>
      </c>
      <c r="E270" s="191"/>
      <c r="F270" s="202">
        <f>F271</f>
        <v>3780000</v>
      </c>
    </row>
    <row r="271" spans="1:6" ht="38.25">
      <c r="A271" s="28" t="s">
        <v>223</v>
      </c>
      <c r="B271" s="191" t="s">
        <v>659</v>
      </c>
      <c r="C271" s="191" t="s">
        <v>537</v>
      </c>
      <c r="D271" s="192" t="s">
        <v>472</v>
      </c>
      <c r="E271" s="191"/>
      <c r="F271" s="202">
        <f>F272</f>
        <v>3780000</v>
      </c>
    </row>
    <row r="272" spans="1:7" ht="25.5">
      <c r="A272" s="203" t="s">
        <v>225</v>
      </c>
      <c r="B272" s="191" t="s">
        <v>659</v>
      </c>
      <c r="C272" s="191" t="s">
        <v>537</v>
      </c>
      <c r="D272" s="192" t="s">
        <v>472</v>
      </c>
      <c r="E272" s="191">
        <v>400</v>
      </c>
      <c r="F272" s="202">
        <v>3780000</v>
      </c>
      <c r="G272" s="434"/>
    </row>
    <row r="273" spans="1:6" ht="12.75">
      <c r="A273" s="117" t="s">
        <v>43</v>
      </c>
      <c r="B273" s="191" t="s">
        <v>659</v>
      </c>
      <c r="C273" s="208" t="s">
        <v>103</v>
      </c>
      <c r="D273" s="192"/>
      <c r="E273" s="191"/>
      <c r="F273" s="190">
        <f>F274</f>
        <v>16892835</v>
      </c>
    </row>
    <row r="274" spans="1:6" ht="38.25">
      <c r="A274" s="194" t="s">
        <v>281</v>
      </c>
      <c r="B274" s="191" t="s">
        <v>659</v>
      </c>
      <c r="C274" s="208" t="s">
        <v>103</v>
      </c>
      <c r="D274" s="192" t="s">
        <v>562</v>
      </c>
      <c r="E274" s="191"/>
      <c r="F274" s="190">
        <f>F275</f>
        <v>16892835</v>
      </c>
    </row>
    <row r="275" spans="1:6" ht="38.25">
      <c r="A275" s="117" t="s">
        <v>712</v>
      </c>
      <c r="B275" s="191" t="s">
        <v>659</v>
      </c>
      <c r="C275" s="208" t="s">
        <v>103</v>
      </c>
      <c r="D275" s="204" t="s">
        <v>310</v>
      </c>
      <c r="E275" s="193" t="s">
        <v>89</v>
      </c>
      <c r="F275" s="190">
        <f>F276+F279</f>
        <v>16892835</v>
      </c>
    </row>
    <row r="276" spans="1:6" ht="38.25">
      <c r="A276" s="28" t="s">
        <v>464</v>
      </c>
      <c r="B276" s="191" t="s">
        <v>659</v>
      </c>
      <c r="C276" s="208" t="s">
        <v>103</v>
      </c>
      <c r="D276" s="192" t="s">
        <v>311</v>
      </c>
      <c r="E276" s="193"/>
      <c r="F276" s="190">
        <f>F277</f>
        <v>16892835</v>
      </c>
    </row>
    <row r="277" spans="1:6" ht="25.5">
      <c r="A277" s="193" t="s">
        <v>498</v>
      </c>
      <c r="B277" s="191" t="s">
        <v>659</v>
      </c>
      <c r="C277" s="208" t="s">
        <v>103</v>
      </c>
      <c r="D277" s="192" t="s">
        <v>312</v>
      </c>
      <c r="E277" s="191" t="s">
        <v>89</v>
      </c>
      <c r="F277" s="190">
        <f>F278</f>
        <v>16892835</v>
      </c>
    </row>
    <row r="278" spans="1:6" ht="25.5">
      <c r="A278" s="203" t="s">
        <v>92</v>
      </c>
      <c r="B278" s="191" t="s">
        <v>659</v>
      </c>
      <c r="C278" s="208" t="s">
        <v>103</v>
      </c>
      <c r="D278" s="192" t="s">
        <v>312</v>
      </c>
      <c r="E278" s="191">
        <v>600</v>
      </c>
      <c r="F278" s="202">
        <v>16892835</v>
      </c>
    </row>
    <row r="279" spans="1:6" ht="12.75" hidden="1">
      <c r="A279" s="428" t="s">
        <v>109</v>
      </c>
      <c r="B279" s="191" t="s">
        <v>659</v>
      </c>
      <c r="C279" s="208" t="s">
        <v>103</v>
      </c>
      <c r="D279" s="192" t="s">
        <v>708</v>
      </c>
      <c r="E279" s="191"/>
      <c r="F279" s="190">
        <f>F280</f>
        <v>0</v>
      </c>
    </row>
    <row r="280" spans="1:6" ht="38.25" hidden="1">
      <c r="A280" s="428" t="s">
        <v>771</v>
      </c>
      <c r="B280" s="191" t="s">
        <v>659</v>
      </c>
      <c r="C280" s="208" t="s">
        <v>103</v>
      </c>
      <c r="D280" s="192" t="s">
        <v>709</v>
      </c>
      <c r="E280" s="191"/>
      <c r="F280" s="190">
        <f>F281</f>
        <v>0</v>
      </c>
    </row>
    <row r="281" spans="1:6" ht="25.5" hidden="1">
      <c r="A281" s="203" t="s">
        <v>92</v>
      </c>
      <c r="B281" s="191" t="s">
        <v>659</v>
      </c>
      <c r="C281" s="208" t="s">
        <v>103</v>
      </c>
      <c r="D281" s="192" t="s">
        <v>709</v>
      </c>
      <c r="E281" s="191">
        <v>600</v>
      </c>
      <c r="F281" s="202"/>
    </row>
    <row r="282" spans="1:6" ht="12.75">
      <c r="A282" s="196" t="s">
        <v>44</v>
      </c>
      <c r="B282" s="195" t="s">
        <v>659</v>
      </c>
      <c r="C282" s="195" t="s">
        <v>659</v>
      </c>
      <c r="D282" s="195" t="s">
        <v>89</v>
      </c>
      <c r="E282" s="195" t="s">
        <v>89</v>
      </c>
      <c r="F282" s="190">
        <f>F283</f>
        <v>2644600</v>
      </c>
    </row>
    <row r="283" spans="1:6" ht="51">
      <c r="A283" s="194" t="s">
        <v>442</v>
      </c>
      <c r="B283" s="191" t="s">
        <v>659</v>
      </c>
      <c r="C283" s="191" t="s">
        <v>659</v>
      </c>
      <c r="D283" s="192" t="s">
        <v>441</v>
      </c>
      <c r="E283" s="191" t="s">
        <v>89</v>
      </c>
      <c r="F283" s="190">
        <f>F284</f>
        <v>2644600</v>
      </c>
    </row>
    <row r="284" spans="1:6" ht="39" customHeight="1">
      <c r="A284" s="117" t="s">
        <v>356</v>
      </c>
      <c r="B284" s="191" t="s">
        <v>659</v>
      </c>
      <c r="C284" s="191" t="s">
        <v>659</v>
      </c>
      <c r="D284" s="204" t="s">
        <v>492</v>
      </c>
      <c r="E284" s="193" t="s">
        <v>89</v>
      </c>
      <c r="F284" s="190">
        <f>F285+F295</f>
        <v>2644600</v>
      </c>
    </row>
    <row r="285" spans="1:6" ht="25.5">
      <c r="A285" s="28" t="s">
        <v>491</v>
      </c>
      <c r="B285" s="191" t="s">
        <v>659</v>
      </c>
      <c r="C285" s="191" t="s">
        <v>659</v>
      </c>
      <c r="D285" s="192" t="s">
        <v>490</v>
      </c>
      <c r="E285" s="193"/>
      <c r="F285" s="190">
        <f>F286+F289+F292</f>
        <v>2554600</v>
      </c>
    </row>
    <row r="286" spans="1:6" ht="12.75">
      <c r="A286" s="28" t="s">
        <v>489</v>
      </c>
      <c r="B286" s="191" t="s">
        <v>659</v>
      </c>
      <c r="C286" s="191" t="s">
        <v>659</v>
      </c>
      <c r="D286" s="192" t="s">
        <v>488</v>
      </c>
      <c r="E286" s="193"/>
      <c r="F286" s="190">
        <f>SUM(F287:F288)</f>
        <v>7000</v>
      </c>
    </row>
    <row r="287" spans="1:6" ht="25.5" hidden="1">
      <c r="A287" s="203" t="s">
        <v>232</v>
      </c>
      <c r="B287" s="191" t="s">
        <v>659</v>
      </c>
      <c r="C287" s="191" t="s">
        <v>659</v>
      </c>
      <c r="D287" s="192" t="s">
        <v>488</v>
      </c>
      <c r="E287" s="193">
        <v>200</v>
      </c>
      <c r="F287" s="202"/>
    </row>
    <row r="288" spans="1:6" ht="25.5">
      <c r="A288" s="203" t="s">
        <v>92</v>
      </c>
      <c r="B288" s="191" t="s">
        <v>659</v>
      </c>
      <c r="C288" s="191" t="s">
        <v>659</v>
      </c>
      <c r="D288" s="192" t="s">
        <v>488</v>
      </c>
      <c r="E288" s="193">
        <v>600</v>
      </c>
      <c r="F288" s="202">
        <v>7000</v>
      </c>
    </row>
    <row r="289" spans="1:6" ht="12.75">
      <c r="A289" s="74" t="s">
        <v>639</v>
      </c>
      <c r="B289" s="191" t="s">
        <v>659</v>
      </c>
      <c r="C289" s="191" t="s">
        <v>659</v>
      </c>
      <c r="D289" s="192" t="s">
        <v>640</v>
      </c>
      <c r="E289" s="193"/>
      <c r="F289" s="190">
        <f>SUM(F290:F291)</f>
        <v>993564</v>
      </c>
    </row>
    <row r="290" spans="1:6" ht="12.75">
      <c r="A290" s="203" t="s">
        <v>83</v>
      </c>
      <c r="B290" s="191" t="s">
        <v>659</v>
      </c>
      <c r="C290" s="191" t="s">
        <v>659</v>
      </c>
      <c r="D290" s="192" t="s">
        <v>640</v>
      </c>
      <c r="E290" s="193">
        <v>300</v>
      </c>
      <c r="F290" s="202">
        <v>442037</v>
      </c>
    </row>
    <row r="291" spans="1:7" ht="25.5">
      <c r="A291" s="203" t="s">
        <v>92</v>
      </c>
      <c r="B291" s="191" t="s">
        <v>659</v>
      </c>
      <c r="C291" s="191" t="s">
        <v>659</v>
      </c>
      <c r="D291" s="192" t="s">
        <v>640</v>
      </c>
      <c r="E291" s="193">
        <v>600</v>
      </c>
      <c r="F291" s="202">
        <v>551527</v>
      </c>
      <c r="G291" s="434"/>
    </row>
    <row r="292" spans="1:6" ht="25.5">
      <c r="A292" s="74" t="s">
        <v>499</v>
      </c>
      <c r="B292" s="191" t="s">
        <v>659</v>
      </c>
      <c r="C292" s="191" t="s">
        <v>659</v>
      </c>
      <c r="D292" s="192" t="s">
        <v>285</v>
      </c>
      <c r="E292" s="193"/>
      <c r="F292" s="190">
        <f>SUM(F293:F294)</f>
        <v>1554036</v>
      </c>
    </row>
    <row r="293" spans="1:6" ht="12.75">
      <c r="A293" s="203" t="s">
        <v>83</v>
      </c>
      <c r="B293" s="191" t="s">
        <v>659</v>
      </c>
      <c r="C293" s="191" t="s">
        <v>659</v>
      </c>
      <c r="D293" s="192" t="s">
        <v>285</v>
      </c>
      <c r="E293" s="193">
        <v>300</v>
      </c>
      <c r="F293" s="202">
        <v>691391</v>
      </c>
    </row>
    <row r="294" spans="1:7" ht="25.5">
      <c r="A294" s="203" t="s">
        <v>92</v>
      </c>
      <c r="B294" s="191" t="s">
        <v>659</v>
      </c>
      <c r="C294" s="191" t="s">
        <v>659</v>
      </c>
      <c r="D294" s="192" t="s">
        <v>285</v>
      </c>
      <c r="E294" s="193">
        <v>600</v>
      </c>
      <c r="F294" s="202">
        <v>862645</v>
      </c>
      <c r="G294" s="434"/>
    </row>
    <row r="295" spans="1:6" ht="37.5" customHeight="1">
      <c r="A295" s="28" t="s">
        <v>757</v>
      </c>
      <c r="B295" s="191" t="s">
        <v>659</v>
      </c>
      <c r="C295" s="191" t="s">
        <v>659</v>
      </c>
      <c r="D295" s="192" t="s">
        <v>758</v>
      </c>
      <c r="E295" s="193"/>
      <c r="F295" s="190">
        <f>F296</f>
        <v>90000</v>
      </c>
    </row>
    <row r="296" spans="1:6" ht="12.75">
      <c r="A296" s="28" t="s">
        <v>760</v>
      </c>
      <c r="B296" s="191" t="s">
        <v>659</v>
      </c>
      <c r="C296" s="191" t="s">
        <v>659</v>
      </c>
      <c r="D296" s="192" t="s">
        <v>759</v>
      </c>
      <c r="E296" s="193"/>
      <c r="F296" s="190">
        <f>F297</f>
        <v>90000</v>
      </c>
    </row>
    <row r="297" spans="1:6" ht="25.5">
      <c r="A297" s="203" t="s">
        <v>232</v>
      </c>
      <c r="B297" s="191" t="s">
        <v>659</v>
      </c>
      <c r="C297" s="191" t="s">
        <v>659</v>
      </c>
      <c r="D297" s="192" t="s">
        <v>759</v>
      </c>
      <c r="E297" s="193">
        <v>200</v>
      </c>
      <c r="F297" s="202">
        <v>90000</v>
      </c>
    </row>
    <row r="298" spans="1:6" ht="12.75">
      <c r="A298" s="196" t="s">
        <v>569</v>
      </c>
      <c r="B298" s="195" t="s">
        <v>659</v>
      </c>
      <c r="C298" s="195" t="s">
        <v>104</v>
      </c>
      <c r="D298" s="195" t="s">
        <v>89</v>
      </c>
      <c r="E298" s="195" t="s">
        <v>89</v>
      </c>
      <c r="F298" s="190">
        <f>F299</f>
        <v>9375108</v>
      </c>
    </row>
    <row r="299" spans="1:6" ht="38.25">
      <c r="A299" s="194" t="s">
        <v>283</v>
      </c>
      <c r="B299" s="191" t="s">
        <v>659</v>
      </c>
      <c r="C299" s="191" t="s">
        <v>104</v>
      </c>
      <c r="D299" s="192" t="s">
        <v>562</v>
      </c>
      <c r="E299" s="191" t="s">
        <v>89</v>
      </c>
      <c r="F299" s="190">
        <f>F300</f>
        <v>9375108</v>
      </c>
    </row>
    <row r="300" spans="1:6" ht="51">
      <c r="A300" s="117" t="s">
        <v>713</v>
      </c>
      <c r="B300" s="191" t="s">
        <v>659</v>
      </c>
      <c r="C300" s="191" t="s">
        <v>104</v>
      </c>
      <c r="D300" s="192" t="s">
        <v>313</v>
      </c>
      <c r="E300" s="193" t="s">
        <v>89</v>
      </c>
      <c r="F300" s="190">
        <f>F301+F304+F309</f>
        <v>9375108</v>
      </c>
    </row>
    <row r="301" spans="1:6" ht="51">
      <c r="A301" s="28" t="s">
        <v>465</v>
      </c>
      <c r="B301" s="191" t="s">
        <v>659</v>
      </c>
      <c r="C301" s="191" t="s">
        <v>104</v>
      </c>
      <c r="D301" s="192" t="s">
        <v>314</v>
      </c>
      <c r="E301" s="193"/>
      <c r="F301" s="190">
        <f>F302</f>
        <v>236023</v>
      </c>
    </row>
    <row r="302" spans="1:6" ht="38.25">
      <c r="A302" s="203" t="s">
        <v>601</v>
      </c>
      <c r="B302" s="191" t="s">
        <v>659</v>
      </c>
      <c r="C302" s="191" t="s">
        <v>104</v>
      </c>
      <c r="D302" s="192" t="s">
        <v>315</v>
      </c>
      <c r="E302" s="191"/>
      <c r="F302" s="190">
        <f>F303</f>
        <v>236023</v>
      </c>
    </row>
    <row r="303" spans="1:6" ht="51">
      <c r="A303" s="203" t="s">
        <v>740</v>
      </c>
      <c r="B303" s="191" t="s">
        <v>659</v>
      </c>
      <c r="C303" s="191" t="s">
        <v>104</v>
      </c>
      <c r="D303" s="192" t="s">
        <v>315</v>
      </c>
      <c r="E303" s="191">
        <v>100</v>
      </c>
      <c r="F303" s="202">
        <v>236023</v>
      </c>
    </row>
    <row r="304" spans="1:6" ht="38.25">
      <c r="A304" s="28" t="s">
        <v>330</v>
      </c>
      <c r="B304" s="191" t="s">
        <v>659</v>
      </c>
      <c r="C304" s="191" t="s">
        <v>104</v>
      </c>
      <c r="D304" s="192" t="s">
        <v>317</v>
      </c>
      <c r="E304" s="191"/>
      <c r="F304" s="190">
        <f>F305</f>
        <v>7803968</v>
      </c>
    </row>
    <row r="305" spans="1:6" ht="25.5">
      <c r="A305" s="193" t="s">
        <v>498</v>
      </c>
      <c r="B305" s="191" t="s">
        <v>659</v>
      </c>
      <c r="C305" s="191" t="s">
        <v>104</v>
      </c>
      <c r="D305" s="192" t="s">
        <v>318</v>
      </c>
      <c r="E305" s="191" t="s">
        <v>89</v>
      </c>
      <c r="F305" s="190">
        <f>SUM(F306:F308)</f>
        <v>7803968</v>
      </c>
    </row>
    <row r="306" spans="1:6" ht="51">
      <c r="A306" s="203" t="s">
        <v>740</v>
      </c>
      <c r="B306" s="191" t="s">
        <v>659</v>
      </c>
      <c r="C306" s="191" t="s">
        <v>104</v>
      </c>
      <c r="D306" s="192" t="s">
        <v>318</v>
      </c>
      <c r="E306" s="191" t="s">
        <v>597</v>
      </c>
      <c r="F306" s="202">
        <f>5547191+1675252</f>
        <v>7222443</v>
      </c>
    </row>
    <row r="307" spans="1:6" ht="25.5">
      <c r="A307" s="203" t="s">
        <v>232</v>
      </c>
      <c r="B307" s="191" t="s">
        <v>659</v>
      </c>
      <c r="C307" s="191" t="s">
        <v>104</v>
      </c>
      <c r="D307" s="192" t="s">
        <v>318</v>
      </c>
      <c r="E307" s="191" t="s">
        <v>76</v>
      </c>
      <c r="F307" s="202">
        <f>163800+351435+36000+25000</f>
        <v>576235</v>
      </c>
    </row>
    <row r="308" spans="1:6" ht="12.75">
      <c r="A308" s="203" t="s">
        <v>79</v>
      </c>
      <c r="B308" s="191" t="s">
        <v>659</v>
      </c>
      <c r="C308" s="191" t="s">
        <v>104</v>
      </c>
      <c r="D308" s="192" t="s">
        <v>318</v>
      </c>
      <c r="E308" s="191">
        <v>800</v>
      </c>
      <c r="F308" s="202">
        <v>5290</v>
      </c>
    </row>
    <row r="309" spans="1:6" ht="38.25">
      <c r="A309" s="193" t="s">
        <v>642</v>
      </c>
      <c r="B309" s="191" t="s">
        <v>659</v>
      </c>
      <c r="C309" s="191" t="s">
        <v>104</v>
      </c>
      <c r="D309" s="192" t="s">
        <v>644</v>
      </c>
      <c r="E309" s="191"/>
      <c r="F309" s="190">
        <f>F310</f>
        <v>1335117</v>
      </c>
    </row>
    <row r="310" spans="1:6" ht="25.5">
      <c r="A310" s="193" t="s">
        <v>736</v>
      </c>
      <c r="B310" s="191" t="s">
        <v>659</v>
      </c>
      <c r="C310" s="191" t="s">
        <v>104</v>
      </c>
      <c r="D310" s="192" t="s">
        <v>645</v>
      </c>
      <c r="E310" s="191"/>
      <c r="F310" s="190">
        <f>SUM(F311:F313)</f>
        <v>1335117</v>
      </c>
    </row>
    <row r="311" spans="1:6" ht="51">
      <c r="A311" s="203" t="s">
        <v>740</v>
      </c>
      <c r="B311" s="191" t="s">
        <v>659</v>
      </c>
      <c r="C311" s="191" t="s">
        <v>104</v>
      </c>
      <c r="D311" s="192" t="s">
        <v>645</v>
      </c>
      <c r="E311" s="191" t="s">
        <v>597</v>
      </c>
      <c r="F311" s="202">
        <f>953239+287878</f>
        <v>1241117</v>
      </c>
    </row>
    <row r="312" spans="1:6" ht="25.5">
      <c r="A312" s="203" t="s">
        <v>232</v>
      </c>
      <c r="B312" s="191" t="s">
        <v>659</v>
      </c>
      <c r="C312" s="191" t="s">
        <v>104</v>
      </c>
      <c r="D312" s="192" t="s">
        <v>645</v>
      </c>
      <c r="E312" s="191" t="s">
        <v>76</v>
      </c>
      <c r="F312" s="202">
        <f>84000+10000</f>
        <v>94000</v>
      </c>
    </row>
    <row r="313" spans="1:6" ht="12.75" hidden="1">
      <c r="A313" s="189" t="s">
        <v>79</v>
      </c>
      <c r="B313" s="187" t="s">
        <v>659</v>
      </c>
      <c r="C313" s="187" t="s">
        <v>104</v>
      </c>
      <c r="D313" s="188" t="s">
        <v>645</v>
      </c>
      <c r="E313" s="187">
        <v>800</v>
      </c>
      <c r="F313" s="186"/>
    </row>
    <row r="314" spans="1:6" ht="12.75">
      <c r="A314" s="200" t="s">
        <v>727</v>
      </c>
      <c r="B314" s="198" t="s">
        <v>558</v>
      </c>
      <c r="C314" s="199" t="s">
        <v>466</v>
      </c>
      <c r="D314" s="198" t="s">
        <v>89</v>
      </c>
      <c r="E314" s="198" t="s">
        <v>89</v>
      </c>
      <c r="F314" s="206">
        <f>F315</f>
        <v>27654283</v>
      </c>
    </row>
    <row r="315" spans="1:6" ht="12.75">
      <c r="A315" s="196" t="s">
        <v>570</v>
      </c>
      <c r="B315" s="195" t="s">
        <v>558</v>
      </c>
      <c r="C315" s="195" t="s">
        <v>535</v>
      </c>
      <c r="D315" s="195" t="s">
        <v>89</v>
      </c>
      <c r="E315" s="195" t="s">
        <v>89</v>
      </c>
      <c r="F315" s="190">
        <f>F316</f>
        <v>27654283</v>
      </c>
    </row>
    <row r="316" spans="1:6" ht="25.5">
      <c r="A316" s="194" t="s">
        <v>15</v>
      </c>
      <c r="B316" s="191" t="s">
        <v>558</v>
      </c>
      <c r="C316" s="191" t="s">
        <v>535</v>
      </c>
      <c r="D316" s="192" t="s">
        <v>319</v>
      </c>
      <c r="E316" s="191" t="s">
        <v>89</v>
      </c>
      <c r="F316" s="190">
        <f>F317+F323</f>
        <v>27654283</v>
      </c>
    </row>
    <row r="317" spans="1:6" ht="25.5">
      <c r="A317" s="117" t="s">
        <v>591</v>
      </c>
      <c r="B317" s="191" t="s">
        <v>558</v>
      </c>
      <c r="C317" s="191" t="s">
        <v>535</v>
      </c>
      <c r="D317" s="192" t="s">
        <v>320</v>
      </c>
      <c r="E317" s="193" t="s">
        <v>89</v>
      </c>
      <c r="F317" s="190">
        <f>F318</f>
        <v>5173642</v>
      </c>
    </row>
    <row r="318" spans="1:6" ht="12.75">
      <c r="A318" s="426" t="s">
        <v>487</v>
      </c>
      <c r="B318" s="191" t="s">
        <v>558</v>
      </c>
      <c r="C318" s="191" t="s">
        <v>535</v>
      </c>
      <c r="D318" s="192" t="s">
        <v>321</v>
      </c>
      <c r="E318" s="193"/>
      <c r="F318" s="190">
        <f>F319</f>
        <v>5173642</v>
      </c>
    </row>
    <row r="319" spans="1:6" ht="25.5">
      <c r="A319" s="193" t="s">
        <v>738</v>
      </c>
      <c r="B319" s="191" t="s">
        <v>558</v>
      </c>
      <c r="C319" s="191" t="s">
        <v>535</v>
      </c>
      <c r="D319" s="192" t="s">
        <v>322</v>
      </c>
      <c r="E319" s="191" t="s">
        <v>89</v>
      </c>
      <c r="F319" s="190">
        <f>SUM(F320:F322)</f>
        <v>5173642</v>
      </c>
    </row>
    <row r="320" spans="1:6" ht="51">
      <c r="A320" s="203" t="s">
        <v>740</v>
      </c>
      <c r="B320" s="191" t="s">
        <v>558</v>
      </c>
      <c r="C320" s="191" t="s">
        <v>535</v>
      </c>
      <c r="D320" s="192" t="s">
        <v>322</v>
      </c>
      <c r="E320" s="191">
        <v>100</v>
      </c>
      <c r="F320" s="202">
        <f>3778920+1141234</f>
        <v>4920154</v>
      </c>
    </row>
    <row r="321" spans="1:6" ht="25.5">
      <c r="A321" s="203" t="s">
        <v>232</v>
      </c>
      <c r="B321" s="191" t="s">
        <v>558</v>
      </c>
      <c r="C321" s="191" t="s">
        <v>535</v>
      </c>
      <c r="D321" s="192" t="s">
        <v>322</v>
      </c>
      <c r="E321" s="191">
        <v>200</v>
      </c>
      <c r="F321" s="202">
        <f>48120+159750+6386+6336</f>
        <v>220592</v>
      </c>
    </row>
    <row r="322" spans="1:6" ht="12.75">
      <c r="A322" s="203" t="s">
        <v>79</v>
      </c>
      <c r="B322" s="191" t="s">
        <v>558</v>
      </c>
      <c r="C322" s="191" t="s">
        <v>535</v>
      </c>
      <c r="D322" s="192" t="s">
        <v>322</v>
      </c>
      <c r="E322" s="191">
        <v>800</v>
      </c>
      <c r="F322" s="202">
        <v>32896</v>
      </c>
    </row>
    <row r="323" spans="1:6" ht="25.5">
      <c r="A323" s="117" t="s">
        <v>592</v>
      </c>
      <c r="B323" s="191" t="s">
        <v>558</v>
      </c>
      <c r="C323" s="191" t="s">
        <v>535</v>
      </c>
      <c r="D323" s="192" t="s">
        <v>323</v>
      </c>
      <c r="E323" s="193"/>
      <c r="F323" s="190">
        <f>F324</f>
        <v>22480641</v>
      </c>
    </row>
    <row r="324" spans="1:6" ht="38.25">
      <c r="A324" s="426" t="s">
        <v>646</v>
      </c>
      <c r="B324" s="191" t="s">
        <v>558</v>
      </c>
      <c r="C324" s="191" t="s">
        <v>535</v>
      </c>
      <c r="D324" s="192" t="s">
        <v>324</v>
      </c>
      <c r="E324" s="193"/>
      <c r="F324" s="190">
        <f>F325+F329+F327</f>
        <v>22480641</v>
      </c>
    </row>
    <row r="325" spans="1:6" ht="25.5">
      <c r="A325" s="193" t="s">
        <v>738</v>
      </c>
      <c r="B325" s="191" t="s">
        <v>558</v>
      </c>
      <c r="C325" s="191" t="s">
        <v>535</v>
      </c>
      <c r="D325" s="192" t="s">
        <v>325</v>
      </c>
      <c r="E325" s="193"/>
      <c r="F325" s="190">
        <f>F326</f>
        <v>22330641</v>
      </c>
    </row>
    <row r="326" spans="1:6" ht="25.5">
      <c r="A326" s="203" t="s">
        <v>92</v>
      </c>
      <c r="B326" s="191" t="s">
        <v>558</v>
      </c>
      <c r="C326" s="191" t="s">
        <v>535</v>
      </c>
      <c r="D326" s="192" t="s">
        <v>325</v>
      </c>
      <c r="E326" s="193">
        <v>600</v>
      </c>
      <c r="F326" s="202">
        <f>11055655+11274986</f>
        <v>22330641</v>
      </c>
    </row>
    <row r="327" spans="1:6" ht="24">
      <c r="A327" s="427" t="s">
        <v>295</v>
      </c>
      <c r="B327" s="208" t="s">
        <v>558</v>
      </c>
      <c r="C327" s="191" t="s">
        <v>535</v>
      </c>
      <c r="D327" s="192" t="s">
        <v>274</v>
      </c>
      <c r="E327" s="193"/>
      <c r="F327" s="190">
        <f>F328</f>
        <v>150000</v>
      </c>
    </row>
    <row r="328" spans="1:6" ht="25.5">
      <c r="A328" s="189" t="s">
        <v>93</v>
      </c>
      <c r="B328" s="207" t="s">
        <v>558</v>
      </c>
      <c r="C328" s="187" t="s">
        <v>535</v>
      </c>
      <c r="D328" s="188" t="s">
        <v>274</v>
      </c>
      <c r="E328" s="201">
        <v>200</v>
      </c>
      <c r="F328" s="186">
        <v>150000</v>
      </c>
    </row>
    <row r="329" spans="1:6" ht="42" customHeight="1" hidden="1">
      <c r="A329" s="189" t="s">
        <v>815</v>
      </c>
      <c r="B329" s="208" t="s">
        <v>558</v>
      </c>
      <c r="C329" s="191" t="s">
        <v>535</v>
      </c>
      <c r="D329" s="188" t="s">
        <v>814</v>
      </c>
      <c r="E329" s="193"/>
      <c r="F329" s="190">
        <f>F330</f>
        <v>0</v>
      </c>
    </row>
    <row r="330" spans="1:6" ht="25.5" hidden="1">
      <c r="A330" s="203" t="s">
        <v>92</v>
      </c>
      <c r="B330" s="207" t="s">
        <v>558</v>
      </c>
      <c r="C330" s="187" t="s">
        <v>535</v>
      </c>
      <c r="D330" s="188" t="s">
        <v>814</v>
      </c>
      <c r="E330" s="201">
        <v>600</v>
      </c>
      <c r="F330" s="186"/>
    </row>
    <row r="331" spans="1:6" ht="12.75">
      <c r="A331" s="413" t="s">
        <v>45</v>
      </c>
      <c r="B331" s="199" t="s">
        <v>104</v>
      </c>
      <c r="C331" s="431" t="s">
        <v>466</v>
      </c>
      <c r="D331" s="432"/>
      <c r="E331" s="433"/>
      <c r="F331" s="206">
        <f>F332</f>
        <v>1084220</v>
      </c>
    </row>
    <row r="332" spans="1:6" ht="12.75">
      <c r="A332" s="203" t="s">
        <v>46</v>
      </c>
      <c r="B332" s="208" t="s">
        <v>104</v>
      </c>
      <c r="C332" s="208" t="s">
        <v>659</v>
      </c>
      <c r="D332" s="192"/>
      <c r="E332" s="193"/>
      <c r="F332" s="190">
        <f>F333</f>
        <v>1084220</v>
      </c>
    </row>
    <row r="333" spans="1:6" ht="25.5">
      <c r="A333" s="194" t="s">
        <v>631</v>
      </c>
      <c r="B333" s="208" t="s">
        <v>104</v>
      </c>
      <c r="C333" s="208" t="s">
        <v>659</v>
      </c>
      <c r="D333" s="192" t="s">
        <v>14</v>
      </c>
      <c r="E333" s="193"/>
      <c r="F333" s="190">
        <f>F334</f>
        <v>1084220</v>
      </c>
    </row>
    <row r="334" spans="1:6" ht="25.5">
      <c r="A334" s="117" t="s">
        <v>641</v>
      </c>
      <c r="B334" s="208" t="s">
        <v>104</v>
      </c>
      <c r="C334" s="208" t="s">
        <v>659</v>
      </c>
      <c r="D334" s="204" t="s">
        <v>16</v>
      </c>
      <c r="E334" s="193"/>
      <c r="F334" s="190">
        <f>F335</f>
        <v>1084220</v>
      </c>
    </row>
    <row r="335" spans="1:6" ht="25.5">
      <c r="A335" s="27" t="s">
        <v>773</v>
      </c>
      <c r="B335" s="208" t="s">
        <v>104</v>
      </c>
      <c r="C335" s="208" t="s">
        <v>659</v>
      </c>
      <c r="D335" s="192" t="s">
        <v>47</v>
      </c>
      <c r="E335" s="193"/>
      <c r="F335" s="190">
        <f>F336</f>
        <v>1084220</v>
      </c>
    </row>
    <row r="336" spans="1:6" ht="25.5">
      <c r="A336" s="189" t="s">
        <v>93</v>
      </c>
      <c r="B336" s="207" t="s">
        <v>104</v>
      </c>
      <c r="C336" s="207" t="s">
        <v>659</v>
      </c>
      <c r="D336" s="188" t="s">
        <v>47</v>
      </c>
      <c r="E336" s="201">
        <v>200</v>
      </c>
      <c r="F336" s="186">
        <v>1084220</v>
      </c>
    </row>
    <row r="337" spans="1:6" ht="12.75">
      <c r="A337" s="200" t="s">
        <v>571</v>
      </c>
      <c r="B337" s="198" t="s">
        <v>559</v>
      </c>
      <c r="C337" s="199" t="s">
        <v>466</v>
      </c>
      <c r="D337" s="198" t="s">
        <v>89</v>
      </c>
      <c r="E337" s="198" t="s">
        <v>89</v>
      </c>
      <c r="F337" s="206">
        <f>F338+F361+F383</f>
        <v>73287072</v>
      </c>
    </row>
    <row r="338" spans="1:6" ht="12.75">
      <c r="A338" s="196" t="s">
        <v>572</v>
      </c>
      <c r="B338" s="195" t="s">
        <v>559</v>
      </c>
      <c r="C338" s="195" t="s">
        <v>103</v>
      </c>
      <c r="D338" s="195" t="s">
        <v>89</v>
      </c>
      <c r="E338" s="195" t="s">
        <v>89</v>
      </c>
      <c r="F338" s="190">
        <f>F339+F356</f>
        <v>7485212</v>
      </c>
    </row>
    <row r="339" spans="1:6" ht="25.5">
      <c r="A339" s="194" t="s">
        <v>166</v>
      </c>
      <c r="B339" s="191" t="s">
        <v>559</v>
      </c>
      <c r="C339" s="191" t="s">
        <v>103</v>
      </c>
      <c r="D339" s="192" t="s">
        <v>227</v>
      </c>
      <c r="E339" s="191" t="s">
        <v>89</v>
      </c>
      <c r="F339" s="190">
        <f>F340</f>
        <v>7465212</v>
      </c>
    </row>
    <row r="340" spans="1:6" ht="51">
      <c r="A340" s="117" t="s">
        <v>167</v>
      </c>
      <c r="B340" s="191" t="s">
        <v>559</v>
      </c>
      <c r="C340" s="191" t="s">
        <v>103</v>
      </c>
      <c r="D340" s="204" t="s">
        <v>119</v>
      </c>
      <c r="E340" s="193" t="s">
        <v>89</v>
      </c>
      <c r="F340" s="190">
        <f>F341+F348+F352</f>
        <v>7465212</v>
      </c>
    </row>
    <row r="341" spans="1:6" ht="25.5">
      <c r="A341" s="426" t="s">
        <v>647</v>
      </c>
      <c r="B341" s="191" t="s">
        <v>559</v>
      </c>
      <c r="C341" s="191" t="s">
        <v>103</v>
      </c>
      <c r="D341" s="204" t="s">
        <v>128</v>
      </c>
      <c r="E341" s="191"/>
      <c r="F341" s="190">
        <f>F342+F345</f>
        <v>7074641</v>
      </c>
    </row>
    <row r="342" spans="1:6" ht="12.75">
      <c r="A342" s="193" t="s">
        <v>594</v>
      </c>
      <c r="B342" s="191" t="s">
        <v>559</v>
      </c>
      <c r="C342" s="191" t="s">
        <v>103</v>
      </c>
      <c r="D342" s="192" t="s">
        <v>648</v>
      </c>
      <c r="E342" s="191" t="s">
        <v>89</v>
      </c>
      <c r="F342" s="190">
        <f>SUM(F343:F344)</f>
        <v>6592141</v>
      </c>
    </row>
    <row r="343" spans="1:6" ht="25.5">
      <c r="A343" s="203" t="s">
        <v>232</v>
      </c>
      <c r="B343" s="191" t="s">
        <v>559</v>
      </c>
      <c r="C343" s="191" t="s">
        <v>103</v>
      </c>
      <c r="D343" s="192" t="s">
        <v>648</v>
      </c>
      <c r="E343" s="191">
        <v>200</v>
      </c>
      <c r="F343" s="202">
        <f>50000+21000</f>
        <v>71000</v>
      </c>
    </row>
    <row r="344" spans="1:6" ht="12.75">
      <c r="A344" s="203" t="s">
        <v>83</v>
      </c>
      <c r="B344" s="191" t="s">
        <v>559</v>
      </c>
      <c r="C344" s="191" t="s">
        <v>103</v>
      </c>
      <c r="D344" s="192" t="s">
        <v>648</v>
      </c>
      <c r="E344" s="191">
        <v>300</v>
      </c>
      <c r="F344" s="202">
        <v>6521141</v>
      </c>
    </row>
    <row r="345" spans="1:6" ht="12.75">
      <c r="A345" s="193" t="s">
        <v>595</v>
      </c>
      <c r="B345" s="191" t="s">
        <v>559</v>
      </c>
      <c r="C345" s="191" t="s">
        <v>103</v>
      </c>
      <c r="D345" s="192" t="s">
        <v>649</v>
      </c>
      <c r="E345" s="191" t="s">
        <v>89</v>
      </c>
      <c r="F345" s="190">
        <f>SUM(F346:F347)</f>
        <v>482500</v>
      </c>
    </row>
    <row r="346" spans="1:6" ht="25.5">
      <c r="A346" s="203" t="s">
        <v>232</v>
      </c>
      <c r="B346" s="191" t="s">
        <v>559</v>
      </c>
      <c r="C346" s="191" t="s">
        <v>103</v>
      </c>
      <c r="D346" s="192" t="s">
        <v>649</v>
      </c>
      <c r="E346" s="191">
        <v>200</v>
      </c>
      <c r="F346" s="202">
        <v>9500</v>
      </c>
    </row>
    <row r="347" spans="1:6" ht="12.75">
      <c r="A347" s="203" t="s">
        <v>83</v>
      </c>
      <c r="B347" s="191" t="s">
        <v>559</v>
      </c>
      <c r="C347" s="191" t="s">
        <v>103</v>
      </c>
      <c r="D347" s="192" t="s">
        <v>649</v>
      </c>
      <c r="E347" s="191" t="s">
        <v>82</v>
      </c>
      <c r="F347" s="202">
        <v>473000</v>
      </c>
    </row>
    <row r="348" spans="1:6" ht="25.5">
      <c r="A348" s="28" t="s">
        <v>125</v>
      </c>
      <c r="B348" s="195" t="s">
        <v>559</v>
      </c>
      <c r="C348" s="195" t="s">
        <v>103</v>
      </c>
      <c r="D348" s="204" t="s">
        <v>129</v>
      </c>
      <c r="E348" s="195"/>
      <c r="F348" s="190">
        <f>F349</f>
        <v>125083</v>
      </c>
    </row>
    <row r="349" spans="1:6" ht="38.25">
      <c r="A349" s="193" t="s">
        <v>266</v>
      </c>
      <c r="B349" s="191" t="s">
        <v>559</v>
      </c>
      <c r="C349" s="191" t="s">
        <v>103</v>
      </c>
      <c r="D349" s="192" t="s">
        <v>130</v>
      </c>
      <c r="E349" s="191" t="s">
        <v>89</v>
      </c>
      <c r="F349" s="190">
        <f>SUM(F350:F351)</f>
        <v>125083</v>
      </c>
    </row>
    <row r="350" spans="1:6" ht="25.5">
      <c r="A350" s="203" t="s">
        <v>232</v>
      </c>
      <c r="B350" s="191" t="s">
        <v>559</v>
      </c>
      <c r="C350" s="191" t="s">
        <v>103</v>
      </c>
      <c r="D350" s="192" t="s">
        <v>130</v>
      </c>
      <c r="E350" s="191">
        <v>200</v>
      </c>
      <c r="F350" s="190">
        <f>1400+500</f>
        <v>1900</v>
      </c>
    </row>
    <row r="351" spans="1:6" ht="12.75">
      <c r="A351" s="203" t="s">
        <v>83</v>
      </c>
      <c r="B351" s="191" t="s">
        <v>559</v>
      </c>
      <c r="C351" s="191" t="s">
        <v>103</v>
      </c>
      <c r="D351" s="192" t="s">
        <v>130</v>
      </c>
      <c r="E351" s="191" t="s">
        <v>82</v>
      </c>
      <c r="F351" s="202">
        <v>123183</v>
      </c>
    </row>
    <row r="352" spans="1:6" ht="38.25">
      <c r="A352" s="31" t="s">
        <v>650</v>
      </c>
      <c r="B352" s="195" t="s">
        <v>559</v>
      </c>
      <c r="C352" s="195" t="s">
        <v>103</v>
      </c>
      <c r="D352" s="204" t="s">
        <v>131</v>
      </c>
      <c r="E352" s="195"/>
      <c r="F352" s="190">
        <f>F353</f>
        <v>265488</v>
      </c>
    </row>
    <row r="353" spans="1:6" ht="38.25">
      <c r="A353" s="193" t="s">
        <v>496</v>
      </c>
      <c r="B353" s="191" t="s">
        <v>559</v>
      </c>
      <c r="C353" s="191" t="s">
        <v>103</v>
      </c>
      <c r="D353" s="192" t="s">
        <v>132</v>
      </c>
      <c r="E353" s="191" t="s">
        <v>89</v>
      </c>
      <c r="F353" s="190">
        <f>SUM(F354:F355)</f>
        <v>265488</v>
      </c>
    </row>
    <row r="354" spans="1:6" ht="25.5">
      <c r="A354" s="203" t="s">
        <v>232</v>
      </c>
      <c r="B354" s="191" t="s">
        <v>559</v>
      </c>
      <c r="C354" s="191" t="s">
        <v>103</v>
      </c>
      <c r="D354" s="192" t="s">
        <v>132</v>
      </c>
      <c r="E354" s="191">
        <v>200</v>
      </c>
      <c r="F354" s="202">
        <f>1000+1000</f>
        <v>2000</v>
      </c>
    </row>
    <row r="355" spans="1:6" ht="12.75">
      <c r="A355" s="203" t="s">
        <v>83</v>
      </c>
      <c r="B355" s="191" t="s">
        <v>559</v>
      </c>
      <c r="C355" s="191" t="s">
        <v>103</v>
      </c>
      <c r="D355" s="192" t="s">
        <v>132</v>
      </c>
      <c r="E355" s="191">
        <v>300</v>
      </c>
      <c r="F355" s="202">
        <v>263488</v>
      </c>
    </row>
    <row r="356" spans="1:6" ht="38.25">
      <c r="A356" s="194" t="s">
        <v>283</v>
      </c>
      <c r="B356" s="191">
        <v>10</v>
      </c>
      <c r="C356" s="191" t="s">
        <v>103</v>
      </c>
      <c r="D356" s="192" t="s">
        <v>562</v>
      </c>
      <c r="E356" s="191"/>
      <c r="F356" s="190">
        <f>F357</f>
        <v>20000</v>
      </c>
    </row>
    <row r="357" spans="1:6" ht="38.25">
      <c r="A357" s="117" t="s">
        <v>282</v>
      </c>
      <c r="B357" s="191">
        <v>10</v>
      </c>
      <c r="C357" s="191" t="s">
        <v>103</v>
      </c>
      <c r="D357" s="204" t="s">
        <v>563</v>
      </c>
      <c r="E357" s="191"/>
      <c r="F357" s="190">
        <f>F358</f>
        <v>20000</v>
      </c>
    </row>
    <row r="358" spans="1:6" ht="25.5">
      <c r="A358" s="28" t="s">
        <v>463</v>
      </c>
      <c r="B358" s="191">
        <v>10</v>
      </c>
      <c r="C358" s="191" t="s">
        <v>103</v>
      </c>
      <c r="D358" s="204" t="s">
        <v>308</v>
      </c>
      <c r="E358" s="191"/>
      <c r="F358" s="190">
        <f>F359</f>
        <v>20000</v>
      </c>
    </row>
    <row r="359" spans="1:6" ht="12.75">
      <c r="A359" s="427" t="s">
        <v>278</v>
      </c>
      <c r="B359" s="191">
        <v>10</v>
      </c>
      <c r="C359" s="191" t="s">
        <v>103</v>
      </c>
      <c r="D359" s="192" t="s">
        <v>277</v>
      </c>
      <c r="E359" s="191"/>
      <c r="F359" s="190">
        <f>F360</f>
        <v>20000</v>
      </c>
    </row>
    <row r="360" spans="1:6" ht="12.75">
      <c r="A360" s="203" t="s">
        <v>83</v>
      </c>
      <c r="B360" s="191">
        <v>10</v>
      </c>
      <c r="C360" s="191" t="s">
        <v>103</v>
      </c>
      <c r="D360" s="192" t="s">
        <v>277</v>
      </c>
      <c r="E360" s="191">
        <v>300</v>
      </c>
      <c r="F360" s="202">
        <v>20000</v>
      </c>
    </row>
    <row r="361" spans="1:6" ht="12.75">
      <c r="A361" s="196" t="s">
        <v>573</v>
      </c>
      <c r="B361" s="195" t="s">
        <v>559</v>
      </c>
      <c r="C361" s="195" t="s">
        <v>538</v>
      </c>
      <c r="D361" s="195" t="s">
        <v>89</v>
      </c>
      <c r="E361" s="195" t="s">
        <v>89</v>
      </c>
      <c r="F361" s="190">
        <f>F362+F377</f>
        <v>61025360</v>
      </c>
    </row>
    <row r="362" spans="1:6" ht="25.5">
      <c r="A362" s="194" t="s">
        <v>166</v>
      </c>
      <c r="B362" s="191" t="s">
        <v>559</v>
      </c>
      <c r="C362" s="191" t="s">
        <v>538</v>
      </c>
      <c r="D362" s="192" t="s">
        <v>227</v>
      </c>
      <c r="E362" s="191"/>
      <c r="F362" s="190">
        <f>F363</f>
        <v>55909262</v>
      </c>
    </row>
    <row r="363" spans="1:6" ht="51">
      <c r="A363" s="117" t="s">
        <v>244</v>
      </c>
      <c r="B363" s="191" t="s">
        <v>559</v>
      </c>
      <c r="C363" s="191" t="s">
        <v>538</v>
      </c>
      <c r="D363" s="204" t="s">
        <v>7</v>
      </c>
      <c r="E363" s="193" t="s">
        <v>89</v>
      </c>
      <c r="F363" s="190">
        <f>F364+F371+F374</f>
        <v>55909262</v>
      </c>
    </row>
    <row r="364" spans="1:6" ht="38.25">
      <c r="A364" s="426" t="s">
        <v>762</v>
      </c>
      <c r="B364" s="191" t="s">
        <v>559</v>
      </c>
      <c r="C364" s="191" t="s">
        <v>538</v>
      </c>
      <c r="D364" s="191" t="s">
        <v>126</v>
      </c>
      <c r="E364" s="191"/>
      <c r="F364" s="190">
        <f>F365+F367+F369</f>
        <v>45737161</v>
      </c>
    </row>
    <row r="365" spans="1:6" ht="12.75">
      <c r="A365" s="28" t="s">
        <v>560</v>
      </c>
      <c r="B365" s="191" t="s">
        <v>559</v>
      </c>
      <c r="C365" s="191" t="s">
        <v>538</v>
      </c>
      <c r="D365" s="192" t="s">
        <v>763</v>
      </c>
      <c r="E365" s="191"/>
      <c r="F365" s="190">
        <f>F366</f>
        <v>1707915</v>
      </c>
    </row>
    <row r="366" spans="1:6" ht="12.75">
      <c r="A366" s="203" t="s">
        <v>83</v>
      </c>
      <c r="B366" s="191" t="s">
        <v>559</v>
      </c>
      <c r="C366" s="191" t="s">
        <v>538</v>
      </c>
      <c r="D366" s="192" t="s">
        <v>763</v>
      </c>
      <c r="E366" s="191">
        <v>300</v>
      </c>
      <c r="F366" s="202">
        <v>1707915</v>
      </c>
    </row>
    <row r="367" spans="1:6" ht="25.5">
      <c r="A367" s="398" t="s">
        <v>515</v>
      </c>
      <c r="B367" s="191" t="s">
        <v>559</v>
      </c>
      <c r="C367" s="191" t="s">
        <v>538</v>
      </c>
      <c r="D367" s="192" t="s">
        <v>516</v>
      </c>
      <c r="E367" s="191"/>
      <c r="F367" s="202">
        <f>F368</f>
        <v>43186977</v>
      </c>
    </row>
    <row r="368" spans="1:6" ht="12.75">
      <c r="A368" s="203" t="s">
        <v>83</v>
      </c>
      <c r="B368" s="191" t="s">
        <v>559</v>
      </c>
      <c r="C368" s="191" t="s">
        <v>538</v>
      </c>
      <c r="D368" s="192" t="s">
        <v>516</v>
      </c>
      <c r="E368" s="191">
        <v>300</v>
      </c>
      <c r="F368" s="202">
        <f>5614307+37572670</f>
        <v>43186977</v>
      </c>
    </row>
    <row r="369" spans="1:6" ht="25.5">
      <c r="A369" s="398" t="s">
        <v>517</v>
      </c>
      <c r="B369" s="191" t="s">
        <v>559</v>
      </c>
      <c r="C369" s="191" t="s">
        <v>538</v>
      </c>
      <c r="D369" s="192" t="s">
        <v>518</v>
      </c>
      <c r="E369" s="191"/>
      <c r="F369" s="202">
        <f>F370</f>
        <v>842269</v>
      </c>
    </row>
    <row r="370" spans="1:6" ht="25.5">
      <c r="A370" s="203" t="s">
        <v>232</v>
      </c>
      <c r="B370" s="191" t="s">
        <v>559</v>
      </c>
      <c r="C370" s="191" t="s">
        <v>538</v>
      </c>
      <c r="D370" s="192" t="s">
        <v>518</v>
      </c>
      <c r="E370" s="191">
        <v>200</v>
      </c>
      <c r="F370" s="202">
        <v>842269</v>
      </c>
    </row>
    <row r="371" spans="1:6" ht="51">
      <c r="A371" s="426" t="s">
        <v>127</v>
      </c>
      <c r="B371" s="191" t="s">
        <v>559</v>
      </c>
      <c r="C371" s="191" t="s">
        <v>538</v>
      </c>
      <c r="D371" s="204" t="s">
        <v>764</v>
      </c>
      <c r="E371" s="193"/>
      <c r="F371" s="190">
        <f>F372</f>
        <v>5944009</v>
      </c>
    </row>
    <row r="372" spans="1:6" ht="31.5" customHeight="1">
      <c r="A372" s="391" t="s">
        <v>596</v>
      </c>
      <c r="B372" s="191" t="s">
        <v>559</v>
      </c>
      <c r="C372" s="191" t="s">
        <v>538</v>
      </c>
      <c r="D372" s="192" t="s">
        <v>765</v>
      </c>
      <c r="E372" s="191" t="s">
        <v>89</v>
      </c>
      <c r="F372" s="190">
        <f>SUM(F373:F373)</f>
        <v>5944009</v>
      </c>
    </row>
    <row r="373" spans="1:6" ht="12.75">
      <c r="A373" s="203" t="s">
        <v>83</v>
      </c>
      <c r="B373" s="191" t="s">
        <v>559</v>
      </c>
      <c r="C373" s="191" t="s">
        <v>538</v>
      </c>
      <c r="D373" s="192" t="s">
        <v>765</v>
      </c>
      <c r="E373" s="191">
        <v>300</v>
      </c>
      <c r="F373" s="202">
        <v>5944009</v>
      </c>
    </row>
    <row r="374" spans="1:7" ht="44.25" customHeight="1">
      <c r="A374" s="483" t="s">
        <v>952</v>
      </c>
      <c r="B374" s="248" t="s">
        <v>559</v>
      </c>
      <c r="C374" s="248" t="s">
        <v>538</v>
      </c>
      <c r="D374" s="192" t="s">
        <v>950</v>
      </c>
      <c r="E374" s="191"/>
      <c r="F374" s="202">
        <f>F375</f>
        <v>4228092</v>
      </c>
      <c r="G374" s="434"/>
    </row>
    <row r="375" spans="1:7" ht="42" customHeight="1">
      <c r="A375" s="483" t="s">
        <v>924</v>
      </c>
      <c r="B375" s="248" t="s">
        <v>559</v>
      </c>
      <c r="C375" s="248" t="s">
        <v>538</v>
      </c>
      <c r="D375" s="192" t="s">
        <v>933</v>
      </c>
      <c r="E375" s="191"/>
      <c r="F375" s="202">
        <f>F376</f>
        <v>4228092</v>
      </c>
      <c r="G375" s="434"/>
    </row>
    <row r="376" spans="1:6" ht="25.5">
      <c r="A376" s="483" t="s">
        <v>225</v>
      </c>
      <c r="B376" s="248" t="s">
        <v>559</v>
      </c>
      <c r="C376" s="248" t="s">
        <v>538</v>
      </c>
      <c r="D376" s="192" t="s">
        <v>933</v>
      </c>
      <c r="E376" s="191">
        <v>400</v>
      </c>
      <c r="F376" s="202">
        <v>4228092</v>
      </c>
    </row>
    <row r="377" spans="1:6" ht="38.25">
      <c r="A377" s="194" t="s">
        <v>281</v>
      </c>
      <c r="B377" s="191">
        <v>10</v>
      </c>
      <c r="C377" s="191" t="s">
        <v>538</v>
      </c>
      <c r="D377" s="192" t="s">
        <v>562</v>
      </c>
      <c r="E377" s="191"/>
      <c r="F377" s="190">
        <f>F378</f>
        <v>5116098</v>
      </c>
    </row>
    <row r="378" spans="1:6" ht="38.25">
      <c r="A378" s="117" t="s">
        <v>282</v>
      </c>
      <c r="B378" s="191">
        <v>10</v>
      </c>
      <c r="C378" s="191" t="s">
        <v>538</v>
      </c>
      <c r="D378" s="204" t="s">
        <v>563</v>
      </c>
      <c r="E378" s="191"/>
      <c r="F378" s="190">
        <f>F379</f>
        <v>5116098</v>
      </c>
    </row>
    <row r="379" spans="1:6" ht="25.5">
      <c r="A379" s="426" t="s">
        <v>461</v>
      </c>
      <c r="B379" s="191">
        <v>10</v>
      </c>
      <c r="C379" s="191" t="s">
        <v>538</v>
      </c>
      <c r="D379" s="204" t="s">
        <v>133</v>
      </c>
      <c r="E379" s="191"/>
      <c r="F379" s="190">
        <f>F380</f>
        <v>5116098</v>
      </c>
    </row>
    <row r="380" spans="1:6" ht="12.75">
      <c r="A380" s="203" t="s">
        <v>327</v>
      </c>
      <c r="B380" s="191">
        <v>10</v>
      </c>
      <c r="C380" s="191" t="s">
        <v>538</v>
      </c>
      <c r="D380" s="192" t="s">
        <v>247</v>
      </c>
      <c r="E380" s="191"/>
      <c r="F380" s="190">
        <f>SUM(F381:F382)</f>
        <v>5116098</v>
      </c>
    </row>
    <row r="381" spans="1:6" ht="25.5">
      <c r="A381" s="203" t="s">
        <v>232</v>
      </c>
      <c r="B381" s="191">
        <v>10</v>
      </c>
      <c r="C381" s="191" t="s">
        <v>538</v>
      </c>
      <c r="D381" s="192" t="s">
        <v>247</v>
      </c>
      <c r="E381" s="191">
        <v>200</v>
      </c>
      <c r="F381" s="202">
        <v>20382</v>
      </c>
    </row>
    <row r="382" spans="1:6" ht="12.75">
      <c r="A382" s="203" t="s">
        <v>83</v>
      </c>
      <c r="B382" s="191">
        <v>10</v>
      </c>
      <c r="C382" s="191" t="s">
        <v>538</v>
      </c>
      <c r="D382" s="192" t="s">
        <v>247</v>
      </c>
      <c r="E382" s="191">
        <v>300</v>
      </c>
      <c r="F382" s="202">
        <v>5095716</v>
      </c>
    </row>
    <row r="383" spans="1:6" ht="12.75">
      <c r="A383" s="196" t="s">
        <v>578</v>
      </c>
      <c r="B383" s="195" t="s">
        <v>559</v>
      </c>
      <c r="C383" s="195" t="s">
        <v>539</v>
      </c>
      <c r="D383" s="195" t="s">
        <v>89</v>
      </c>
      <c r="E383" s="195" t="s">
        <v>89</v>
      </c>
      <c r="F383" s="190">
        <f>F384+F400</f>
        <v>4776500</v>
      </c>
    </row>
    <row r="384" spans="1:6" ht="25.5">
      <c r="A384" s="194" t="s">
        <v>166</v>
      </c>
      <c r="B384" s="191" t="s">
        <v>559</v>
      </c>
      <c r="C384" s="191" t="s">
        <v>539</v>
      </c>
      <c r="D384" s="192" t="s">
        <v>227</v>
      </c>
      <c r="E384" s="191" t="s">
        <v>89</v>
      </c>
      <c r="F384" s="190">
        <f>F385+F395</f>
        <v>4441800</v>
      </c>
    </row>
    <row r="385" spans="1:6" ht="39" customHeight="1">
      <c r="A385" s="392" t="s">
        <v>384</v>
      </c>
      <c r="B385" s="191" t="s">
        <v>559</v>
      </c>
      <c r="C385" s="191" t="s">
        <v>539</v>
      </c>
      <c r="D385" s="204" t="s">
        <v>6</v>
      </c>
      <c r="E385" s="193" t="s">
        <v>89</v>
      </c>
      <c r="F385" s="190">
        <f>F386+F391</f>
        <v>3437700</v>
      </c>
    </row>
    <row r="386" spans="1:6" ht="40.5" customHeight="1">
      <c r="A386" s="426" t="s">
        <v>766</v>
      </c>
      <c r="B386" s="191" t="s">
        <v>559</v>
      </c>
      <c r="C386" s="191" t="s">
        <v>539</v>
      </c>
      <c r="D386" s="204" t="s">
        <v>767</v>
      </c>
      <c r="E386" s="193"/>
      <c r="F386" s="190">
        <f>F387</f>
        <v>2342900</v>
      </c>
    </row>
    <row r="387" spans="1:6" ht="25.5">
      <c r="A387" s="193" t="s">
        <v>394</v>
      </c>
      <c r="B387" s="191" t="s">
        <v>559</v>
      </c>
      <c r="C387" s="191" t="s">
        <v>539</v>
      </c>
      <c r="D387" s="192" t="s">
        <v>768</v>
      </c>
      <c r="E387" s="191" t="s">
        <v>89</v>
      </c>
      <c r="F387" s="190">
        <f>SUM(F388:F390)</f>
        <v>2342900</v>
      </c>
    </row>
    <row r="388" spans="1:6" ht="51">
      <c r="A388" s="203" t="s">
        <v>740</v>
      </c>
      <c r="B388" s="191" t="s">
        <v>559</v>
      </c>
      <c r="C388" s="191" t="s">
        <v>539</v>
      </c>
      <c r="D388" s="192" t="s">
        <v>768</v>
      </c>
      <c r="E388" s="191">
        <v>100</v>
      </c>
      <c r="F388" s="202">
        <v>2232400</v>
      </c>
    </row>
    <row r="389" spans="1:6" ht="25.5">
      <c r="A389" s="203" t="s">
        <v>232</v>
      </c>
      <c r="B389" s="191" t="s">
        <v>559</v>
      </c>
      <c r="C389" s="191" t="s">
        <v>539</v>
      </c>
      <c r="D389" s="192" t="s">
        <v>768</v>
      </c>
      <c r="E389" s="193">
        <v>200</v>
      </c>
      <c r="F389" s="202">
        <v>110000</v>
      </c>
    </row>
    <row r="390" spans="1:6" ht="12.75">
      <c r="A390" s="203" t="s">
        <v>79</v>
      </c>
      <c r="B390" s="191" t="s">
        <v>559</v>
      </c>
      <c r="C390" s="191" t="s">
        <v>539</v>
      </c>
      <c r="D390" s="192" t="s">
        <v>768</v>
      </c>
      <c r="E390" s="193">
        <v>800</v>
      </c>
      <c r="F390" s="202">
        <v>500</v>
      </c>
    </row>
    <row r="391" spans="1:6" ht="51">
      <c r="A391" s="203" t="s">
        <v>715</v>
      </c>
      <c r="B391" s="191" t="s">
        <v>559</v>
      </c>
      <c r="C391" s="191" t="s">
        <v>539</v>
      </c>
      <c r="D391" s="192" t="s">
        <v>337</v>
      </c>
      <c r="E391" s="193"/>
      <c r="F391" s="202">
        <f>F392+F393+F394</f>
        <v>1094800</v>
      </c>
    </row>
    <row r="392" spans="1:6" ht="51">
      <c r="A392" s="203" t="s">
        <v>740</v>
      </c>
      <c r="B392" s="191" t="s">
        <v>559</v>
      </c>
      <c r="C392" s="191" t="s">
        <v>539</v>
      </c>
      <c r="D392" s="192" t="s">
        <v>337</v>
      </c>
      <c r="E392" s="193">
        <v>100</v>
      </c>
      <c r="F392" s="202">
        <v>982100</v>
      </c>
    </row>
    <row r="393" spans="1:6" ht="25.5">
      <c r="A393" s="203" t="s">
        <v>232</v>
      </c>
      <c r="B393" s="191" t="s">
        <v>559</v>
      </c>
      <c r="C393" s="191" t="s">
        <v>539</v>
      </c>
      <c r="D393" s="192" t="s">
        <v>337</v>
      </c>
      <c r="E393" s="193">
        <v>200</v>
      </c>
      <c r="F393" s="202">
        <v>112200</v>
      </c>
    </row>
    <row r="394" spans="1:6" ht="12.75">
      <c r="A394" s="189" t="s">
        <v>79</v>
      </c>
      <c r="B394" s="187" t="s">
        <v>559</v>
      </c>
      <c r="C394" s="187" t="s">
        <v>539</v>
      </c>
      <c r="D394" s="188" t="s">
        <v>337</v>
      </c>
      <c r="E394" s="201">
        <v>800</v>
      </c>
      <c r="F394" s="186">
        <v>500</v>
      </c>
    </row>
    <row r="395" spans="1:6" ht="51">
      <c r="A395" s="392" t="s">
        <v>176</v>
      </c>
      <c r="B395" s="191" t="s">
        <v>559</v>
      </c>
      <c r="C395" s="191" t="s">
        <v>539</v>
      </c>
      <c r="D395" s="204" t="s">
        <v>7</v>
      </c>
      <c r="E395" s="193" t="s">
        <v>89</v>
      </c>
      <c r="F395" s="190">
        <f>F396</f>
        <v>1004100</v>
      </c>
    </row>
    <row r="396" spans="1:6" ht="38.25">
      <c r="A396" s="426" t="s">
        <v>593</v>
      </c>
      <c r="B396" s="191" t="s">
        <v>559</v>
      </c>
      <c r="C396" s="191" t="s">
        <v>539</v>
      </c>
      <c r="D396" s="204" t="s">
        <v>600</v>
      </c>
      <c r="E396" s="193"/>
      <c r="F396" s="190">
        <f>F397</f>
        <v>1004100</v>
      </c>
    </row>
    <row r="397" spans="1:6" ht="38.25">
      <c r="A397" s="203" t="s">
        <v>286</v>
      </c>
      <c r="B397" s="191" t="s">
        <v>559</v>
      </c>
      <c r="C397" s="191" t="s">
        <v>539</v>
      </c>
      <c r="D397" s="192" t="s">
        <v>456</v>
      </c>
      <c r="E397" s="193"/>
      <c r="F397" s="202">
        <f>SUM(F398:F399)</f>
        <v>1004100</v>
      </c>
    </row>
    <row r="398" spans="1:6" ht="51">
      <c r="A398" s="203" t="s">
        <v>740</v>
      </c>
      <c r="B398" s="191" t="s">
        <v>559</v>
      </c>
      <c r="C398" s="191" t="s">
        <v>539</v>
      </c>
      <c r="D398" s="192" t="s">
        <v>456</v>
      </c>
      <c r="E398" s="193">
        <v>100</v>
      </c>
      <c r="F398" s="202">
        <v>967900</v>
      </c>
    </row>
    <row r="399" spans="1:6" ht="25.5">
      <c r="A399" s="203" t="s">
        <v>232</v>
      </c>
      <c r="B399" s="191" t="s">
        <v>559</v>
      </c>
      <c r="C399" s="191" t="s">
        <v>539</v>
      </c>
      <c r="D399" s="192" t="s">
        <v>456</v>
      </c>
      <c r="E399" s="193" t="s">
        <v>76</v>
      </c>
      <c r="F399" s="202">
        <v>36200</v>
      </c>
    </row>
    <row r="400" spans="1:6" ht="51">
      <c r="A400" s="194" t="s">
        <v>300</v>
      </c>
      <c r="B400" s="187" t="s">
        <v>559</v>
      </c>
      <c r="C400" s="187" t="s">
        <v>539</v>
      </c>
      <c r="D400" s="191" t="s">
        <v>12</v>
      </c>
      <c r="E400" s="191"/>
      <c r="F400" s="202">
        <f>F401</f>
        <v>334700</v>
      </c>
    </row>
    <row r="401" spans="1:6" ht="63.75">
      <c r="A401" s="392" t="s">
        <v>301</v>
      </c>
      <c r="B401" s="191" t="s">
        <v>559</v>
      </c>
      <c r="C401" s="191" t="s">
        <v>539</v>
      </c>
      <c r="D401" s="204" t="s">
        <v>13</v>
      </c>
      <c r="E401" s="193"/>
      <c r="F401" s="190">
        <f>F402</f>
        <v>334700</v>
      </c>
    </row>
    <row r="402" spans="1:6" ht="25.5">
      <c r="A402" s="426" t="s">
        <v>290</v>
      </c>
      <c r="B402" s="191" t="s">
        <v>559</v>
      </c>
      <c r="C402" s="191" t="s">
        <v>539</v>
      </c>
      <c r="D402" s="204" t="s">
        <v>279</v>
      </c>
      <c r="E402" s="193"/>
      <c r="F402" s="190">
        <f>F403</f>
        <v>334700</v>
      </c>
    </row>
    <row r="403" spans="1:6" ht="38.25">
      <c r="A403" s="203" t="s">
        <v>111</v>
      </c>
      <c r="B403" s="191" t="s">
        <v>559</v>
      </c>
      <c r="C403" s="191" t="s">
        <v>539</v>
      </c>
      <c r="D403" s="192" t="s">
        <v>291</v>
      </c>
      <c r="E403" s="193"/>
      <c r="F403" s="202">
        <f>SUM(F404:F404)</f>
        <v>334700</v>
      </c>
    </row>
    <row r="404" spans="1:6" ht="51">
      <c r="A404" s="203" t="s">
        <v>740</v>
      </c>
      <c r="B404" s="191" t="s">
        <v>559</v>
      </c>
      <c r="C404" s="191" t="s">
        <v>539</v>
      </c>
      <c r="D404" s="192" t="s">
        <v>291</v>
      </c>
      <c r="E404" s="193">
        <v>100</v>
      </c>
      <c r="F404" s="202">
        <v>334700</v>
      </c>
    </row>
    <row r="405" spans="1:6" ht="12.75">
      <c r="A405" s="200" t="s">
        <v>246</v>
      </c>
      <c r="B405" s="198" t="s">
        <v>541</v>
      </c>
      <c r="C405" s="199" t="s">
        <v>466</v>
      </c>
      <c r="D405" s="198" t="s">
        <v>89</v>
      </c>
      <c r="E405" s="198" t="s">
        <v>89</v>
      </c>
      <c r="F405" s="197">
        <f aca="true" t="shared" si="0" ref="F405:F410">F406</f>
        <v>100000</v>
      </c>
    </row>
    <row r="406" spans="1:6" ht="12.75">
      <c r="A406" s="196" t="s">
        <v>443</v>
      </c>
      <c r="B406" s="195" t="s">
        <v>541</v>
      </c>
      <c r="C406" s="195" t="s">
        <v>537</v>
      </c>
      <c r="D406" s="195" t="s">
        <v>89</v>
      </c>
      <c r="E406" s="195" t="s">
        <v>89</v>
      </c>
      <c r="F406" s="190">
        <f t="shared" si="0"/>
        <v>100000</v>
      </c>
    </row>
    <row r="407" spans="1:6" ht="51">
      <c r="A407" s="194" t="s">
        <v>442</v>
      </c>
      <c r="B407" s="191" t="s">
        <v>541</v>
      </c>
      <c r="C407" s="191" t="s">
        <v>537</v>
      </c>
      <c r="D407" s="192" t="s">
        <v>441</v>
      </c>
      <c r="E407" s="191" t="s">
        <v>89</v>
      </c>
      <c r="F407" s="190">
        <f t="shared" si="0"/>
        <v>100000</v>
      </c>
    </row>
    <row r="408" spans="1:6" ht="63.75">
      <c r="A408" s="117" t="s">
        <v>440</v>
      </c>
      <c r="B408" s="191" t="s">
        <v>541</v>
      </c>
      <c r="C408" s="191" t="s">
        <v>537</v>
      </c>
      <c r="D408" s="192" t="s">
        <v>252</v>
      </c>
      <c r="E408" s="193" t="s">
        <v>89</v>
      </c>
      <c r="F408" s="190">
        <f t="shared" si="0"/>
        <v>100000</v>
      </c>
    </row>
    <row r="409" spans="1:6" ht="51">
      <c r="A409" s="28" t="s">
        <v>251</v>
      </c>
      <c r="B409" s="191" t="s">
        <v>541</v>
      </c>
      <c r="C409" s="191" t="s">
        <v>537</v>
      </c>
      <c r="D409" s="192" t="s">
        <v>250</v>
      </c>
      <c r="E409" s="193"/>
      <c r="F409" s="190">
        <f t="shared" si="0"/>
        <v>100000</v>
      </c>
    </row>
    <row r="410" spans="1:6" ht="51">
      <c r="A410" s="28" t="s">
        <v>249</v>
      </c>
      <c r="B410" s="191" t="s">
        <v>541</v>
      </c>
      <c r="C410" s="191" t="s">
        <v>537</v>
      </c>
      <c r="D410" s="192" t="s">
        <v>248</v>
      </c>
      <c r="E410" s="193"/>
      <c r="F410" s="190">
        <f t="shared" si="0"/>
        <v>100000</v>
      </c>
    </row>
    <row r="411" spans="1:6" ht="25.5">
      <c r="A411" s="189" t="s">
        <v>232</v>
      </c>
      <c r="B411" s="187" t="s">
        <v>541</v>
      </c>
      <c r="C411" s="187" t="s">
        <v>537</v>
      </c>
      <c r="D411" s="188" t="s">
        <v>248</v>
      </c>
      <c r="E411" s="201">
        <v>200</v>
      </c>
      <c r="F411" s="186">
        <v>100000</v>
      </c>
    </row>
    <row r="412" spans="1:6" ht="25.5">
      <c r="A412" s="200" t="s">
        <v>77</v>
      </c>
      <c r="B412" s="198" t="s">
        <v>102</v>
      </c>
      <c r="C412" s="199" t="s">
        <v>466</v>
      </c>
      <c r="D412" s="198" t="s">
        <v>89</v>
      </c>
      <c r="E412" s="198" t="s">
        <v>89</v>
      </c>
      <c r="F412" s="197">
        <f aca="true" t="shared" si="1" ref="F412:F417">F413</f>
        <v>55000</v>
      </c>
    </row>
    <row r="413" spans="1:6" ht="25.5">
      <c r="A413" s="196" t="s">
        <v>78</v>
      </c>
      <c r="B413" s="195" t="s">
        <v>102</v>
      </c>
      <c r="C413" s="195" t="s">
        <v>535</v>
      </c>
      <c r="D413" s="195" t="s">
        <v>89</v>
      </c>
      <c r="E413" s="195" t="s">
        <v>89</v>
      </c>
      <c r="F413" s="190">
        <f t="shared" si="1"/>
        <v>55000</v>
      </c>
    </row>
    <row r="414" spans="1:6" ht="25.5">
      <c r="A414" s="194" t="s">
        <v>175</v>
      </c>
      <c r="B414" s="191" t="s">
        <v>102</v>
      </c>
      <c r="C414" s="191" t="s">
        <v>535</v>
      </c>
      <c r="D414" s="192" t="s">
        <v>698</v>
      </c>
      <c r="E414" s="191" t="s">
        <v>89</v>
      </c>
      <c r="F414" s="190">
        <f t="shared" si="1"/>
        <v>55000</v>
      </c>
    </row>
    <row r="415" spans="1:6" ht="38.25">
      <c r="A415" s="117" t="s">
        <v>395</v>
      </c>
      <c r="B415" s="191" t="s">
        <v>102</v>
      </c>
      <c r="C415" s="191" t="s">
        <v>535</v>
      </c>
      <c r="D415" s="192" t="s">
        <v>121</v>
      </c>
      <c r="E415" s="193" t="s">
        <v>89</v>
      </c>
      <c r="F415" s="190">
        <f t="shared" si="1"/>
        <v>55000</v>
      </c>
    </row>
    <row r="416" spans="1:6" ht="51">
      <c r="A416" s="28" t="s">
        <v>120</v>
      </c>
      <c r="B416" s="191" t="s">
        <v>102</v>
      </c>
      <c r="C416" s="191" t="s">
        <v>535</v>
      </c>
      <c r="D416" s="192" t="s">
        <v>122</v>
      </c>
      <c r="E416" s="193"/>
      <c r="F416" s="190">
        <f t="shared" si="1"/>
        <v>55000</v>
      </c>
    </row>
    <row r="417" spans="1:6" ht="12.75">
      <c r="A417" s="28" t="s">
        <v>123</v>
      </c>
      <c r="B417" s="191" t="s">
        <v>102</v>
      </c>
      <c r="C417" s="191" t="s">
        <v>535</v>
      </c>
      <c r="D417" s="192" t="s">
        <v>124</v>
      </c>
      <c r="E417" s="191" t="s">
        <v>89</v>
      </c>
      <c r="F417" s="190">
        <f t="shared" si="1"/>
        <v>55000</v>
      </c>
    </row>
    <row r="418" spans="1:6" ht="12.75">
      <c r="A418" s="189" t="s">
        <v>497</v>
      </c>
      <c r="B418" s="187" t="s">
        <v>102</v>
      </c>
      <c r="C418" s="187" t="s">
        <v>535</v>
      </c>
      <c r="D418" s="188" t="s">
        <v>124</v>
      </c>
      <c r="E418" s="187" t="s">
        <v>84</v>
      </c>
      <c r="F418" s="186">
        <v>55000</v>
      </c>
    </row>
  </sheetData>
  <sheetProtection/>
  <mergeCells count="3">
    <mergeCell ref="B3:F3"/>
    <mergeCell ref="G106:G107"/>
    <mergeCell ref="A4:F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00"/>
    <pageSetUpPr fitToPage="1"/>
  </sheetPr>
  <dimension ref="A1:I342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36.421875" style="142" customWidth="1"/>
    <col min="2" max="2" width="3.8515625" style="142" customWidth="1"/>
    <col min="3" max="3" width="4.57421875" style="142" customWidth="1"/>
    <col min="4" max="4" width="13.140625" style="142" customWidth="1"/>
    <col min="5" max="5" width="4.57421875" style="142" customWidth="1"/>
    <col min="6" max="7" width="13.8515625" style="162" customWidth="1"/>
    <col min="8" max="8" width="10.421875" style="142" customWidth="1"/>
    <col min="9" max="16384" width="9.140625" style="142" customWidth="1"/>
  </cols>
  <sheetData>
    <row r="1" spans="1:7" ht="12.75">
      <c r="A1" s="139"/>
      <c r="B1" s="140"/>
      <c r="C1" s="140"/>
      <c r="D1" s="140"/>
      <c r="E1" s="140"/>
      <c r="F1" s="141"/>
      <c r="G1" s="141" t="s">
        <v>931</v>
      </c>
    </row>
    <row r="2" spans="1:7" ht="12.75">
      <c r="A2" s="139"/>
      <c r="B2" s="140"/>
      <c r="C2" s="140"/>
      <c r="D2" s="140"/>
      <c r="E2" s="140"/>
      <c r="F2" s="48"/>
      <c r="G2" s="48" t="s">
        <v>267</v>
      </c>
    </row>
    <row r="3" spans="1:9" ht="12.75">
      <c r="A3" s="494" t="s">
        <v>908</v>
      </c>
      <c r="B3" s="494"/>
      <c r="C3" s="494"/>
      <c r="D3" s="494"/>
      <c r="E3" s="494"/>
      <c r="F3" s="494"/>
      <c r="G3" s="494"/>
      <c r="H3" s="435"/>
      <c r="I3" s="435"/>
    </row>
    <row r="4" spans="1:7" ht="38.25">
      <c r="A4" s="237" t="s">
        <v>923</v>
      </c>
      <c r="B4" s="237"/>
      <c r="C4" s="237"/>
      <c r="D4" s="237"/>
      <c r="E4" s="237"/>
      <c r="F4" s="236"/>
      <c r="G4" s="236"/>
    </row>
    <row r="5" spans="1:7" ht="12.75">
      <c r="A5" s="235"/>
      <c r="B5" s="235"/>
      <c r="C5" s="235"/>
      <c r="D5" s="235"/>
      <c r="E5" s="235"/>
      <c r="F5" s="234"/>
      <c r="G5" s="234" t="s">
        <v>90</v>
      </c>
    </row>
    <row r="6" spans="1:7" ht="22.5">
      <c r="A6" s="233" t="s">
        <v>86</v>
      </c>
      <c r="B6" s="233" t="s">
        <v>528</v>
      </c>
      <c r="C6" s="233" t="s">
        <v>529</v>
      </c>
      <c r="D6" s="233" t="s">
        <v>530</v>
      </c>
      <c r="E6" s="233" t="s">
        <v>531</v>
      </c>
      <c r="F6" s="393" t="s">
        <v>602</v>
      </c>
      <c r="G6" s="393" t="s">
        <v>940</v>
      </c>
    </row>
    <row r="7" spans="1:7" ht="12.75">
      <c r="A7" s="231" t="s">
        <v>74</v>
      </c>
      <c r="B7" s="231" t="s">
        <v>87</v>
      </c>
      <c r="C7" s="231" t="s">
        <v>75</v>
      </c>
      <c r="D7" s="231" t="s">
        <v>532</v>
      </c>
      <c r="E7" s="231" t="s">
        <v>533</v>
      </c>
      <c r="F7" s="230" t="s">
        <v>534</v>
      </c>
      <c r="G7" s="394">
        <v>7</v>
      </c>
    </row>
    <row r="8" spans="1:7" ht="12.75">
      <c r="A8" s="229" t="s">
        <v>91</v>
      </c>
      <c r="B8" s="228" t="s">
        <v>89</v>
      </c>
      <c r="C8" s="228" t="s">
        <v>89</v>
      </c>
      <c r="D8" s="228" t="s">
        <v>89</v>
      </c>
      <c r="E8" s="228" t="s">
        <v>89</v>
      </c>
      <c r="F8" s="227">
        <f>F9+F83+F89+F98+F139+F165+F239+F254+F260+F328+F335+F342</f>
        <v>413793852</v>
      </c>
      <c r="G8" s="227">
        <f>G9+G83+G89+G98+G139+G165+G239+G254+G260+G328+G335+G342</f>
        <v>431506020</v>
      </c>
    </row>
    <row r="9" spans="1:7" ht="12.75">
      <c r="A9" s="226" t="s">
        <v>598</v>
      </c>
      <c r="B9" s="224" t="s">
        <v>535</v>
      </c>
      <c r="C9" s="225" t="s">
        <v>466</v>
      </c>
      <c r="D9" s="224" t="s">
        <v>89</v>
      </c>
      <c r="E9" s="224" t="s">
        <v>89</v>
      </c>
      <c r="F9" s="223">
        <f>F10+F15+F22+F38+F43</f>
        <v>43459517</v>
      </c>
      <c r="G9" s="223">
        <f>G10+G15+G22+G38+G43</f>
        <v>41126144</v>
      </c>
    </row>
    <row r="10" spans="1:7" ht="51">
      <c r="A10" s="269" t="s">
        <v>536</v>
      </c>
      <c r="B10" s="268" t="s">
        <v>535</v>
      </c>
      <c r="C10" s="268" t="s">
        <v>537</v>
      </c>
      <c r="D10" s="268" t="s">
        <v>89</v>
      </c>
      <c r="E10" s="268" t="s">
        <v>89</v>
      </c>
      <c r="F10" s="250">
        <f aca="true" t="shared" si="0" ref="F10:G13">F11</f>
        <v>1366926</v>
      </c>
      <c r="G10" s="250">
        <f t="shared" si="0"/>
        <v>1283191</v>
      </c>
    </row>
    <row r="11" spans="1:7" ht="25.5">
      <c r="A11" s="13" t="s">
        <v>588</v>
      </c>
      <c r="B11" s="248" t="s">
        <v>535</v>
      </c>
      <c r="C11" s="248" t="s">
        <v>537</v>
      </c>
      <c r="D11" s="248" t="s">
        <v>691</v>
      </c>
      <c r="E11" s="248" t="s">
        <v>89</v>
      </c>
      <c r="F11" s="250">
        <f t="shared" si="0"/>
        <v>1366926</v>
      </c>
      <c r="G11" s="250">
        <f t="shared" si="0"/>
        <v>1283191</v>
      </c>
    </row>
    <row r="12" spans="1:7" ht="12.75">
      <c r="A12" s="13" t="s">
        <v>361</v>
      </c>
      <c r="B12" s="248" t="s">
        <v>535</v>
      </c>
      <c r="C12" s="248" t="s">
        <v>537</v>
      </c>
      <c r="D12" s="248" t="s">
        <v>692</v>
      </c>
      <c r="E12" s="251" t="s">
        <v>89</v>
      </c>
      <c r="F12" s="250">
        <f t="shared" si="0"/>
        <v>1366926</v>
      </c>
      <c r="G12" s="250">
        <f t="shared" si="0"/>
        <v>1283191</v>
      </c>
    </row>
    <row r="13" spans="1:7" ht="38.25">
      <c r="A13" s="251" t="s">
        <v>736</v>
      </c>
      <c r="B13" s="248" t="s">
        <v>535</v>
      </c>
      <c r="C13" s="248" t="s">
        <v>537</v>
      </c>
      <c r="D13" s="248" t="s">
        <v>693</v>
      </c>
      <c r="E13" s="248" t="s">
        <v>89</v>
      </c>
      <c r="F13" s="250">
        <f t="shared" si="0"/>
        <v>1366926</v>
      </c>
      <c r="G13" s="250">
        <f t="shared" si="0"/>
        <v>1283191</v>
      </c>
    </row>
    <row r="14" spans="1:7" ht="77.25" customHeight="1">
      <c r="A14" s="13" t="s">
        <v>740</v>
      </c>
      <c r="B14" s="248" t="s">
        <v>535</v>
      </c>
      <c r="C14" s="248" t="s">
        <v>537</v>
      </c>
      <c r="D14" s="248" t="s">
        <v>693</v>
      </c>
      <c r="E14" s="248" t="s">
        <v>597</v>
      </c>
      <c r="F14" s="247">
        <v>1366926</v>
      </c>
      <c r="G14" s="247">
        <v>1283191</v>
      </c>
    </row>
    <row r="15" spans="1:7" ht="76.5">
      <c r="A15" s="269" t="s">
        <v>726</v>
      </c>
      <c r="B15" s="268" t="s">
        <v>535</v>
      </c>
      <c r="C15" s="268" t="s">
        <v>538</v>
      </c>
      <c r="D15" s="268" t="s">
        <v>89</v>
      </c>
      <c r="E15" s="268" t="s">
        <v>89</v>
      </c>
      <c r="F15" s="250">
        <f aca="true" t="shared" si="1" ref="F15:G17">F16</f>
        <v>12571750</v>
      </c>
      <c r="G15" s="250">
        <f t="shared" si="1"/>
        <v>11800895</v>
      </c>
    </row>
    <row r="16" spans="1:7" ht="25.5">
      <c r="A16" s="203" t="s">
        <v>473</v>
      </c>
      <c r="B16" s="191" t="s">
        <v>535</v>
      </c>
      <c r="C16" s="191" t="s">
        <v>538</v>
      </c>
      <c r="D16" s="191" t="s">
        <v>694</v>
      </c>
      <c r="E16" s="191" t="s">
        <v>89</v>
      </c>
      <c r="F16" s="190">
        <f t="shared" si="1"/>
        <v>12571750</v>
      </c>
      <c r="G16" s="190">
        <f t="shared" si="1"/>
        <v>11800895</v>
      </c>
    </row>
    <row r="17" spans="1:7" ht="25.5">
      <c r="A17" s="203" t="s">
        <v>477</v>
      </c>
      <c r="B17" s="191" t="s">
        <v>535</v>
      </c>
      <c r="C17" s="191" t="s">
        <v>538</v>
      </c>
      <c r="D17" s="191" t="s">
        <v>695</v>
      </c>
      <c r="E17" s="193" t="s">
        <v>89</v>
      </c>
      <c r="F17" s="190">
        <f t="shared" si="1"/>
        <v>12571750</v>
      </c>
      <c r="G17" s="190">
        <f t="shared" si="1"/>
        <v>11800895</v>
      </c>
    </row>
    <row r="18" spans="1:7" ht="38.25">
      <c r="A18" s="251" t="s">
        <v>736</v>
      </c>
      <c r="B18" s="248" t="s">
        <v>535</v>
      </c>
      <c r="C18" s="248" t="s">
        <v>538</v>
      </c>
      <c r="D18" s="248" t="s">
        <v>697</v>
      </c>
      <c r="E18" s="248" t="s">
        <v>89</v>
      </c>
      <c r="F18" s="250">
        <f>SUM(F19:F21)</f>
        <v>12571750</v>
      </c>
      <c r="G18" s="250">
        <f>SUM(G19:G21)</f>
        <v>11800895</v>
      </c>
    </row>
    <row r="19" spans="1:7" ht="80.25" customHeight="1">
      <c r="A19" s="13" t="s">
        <v>740</v>
      </c>
      <c r="B19" s="248" t="s">
        <v>535</v>
      </c>
      <c r="C19" s="248" t="s">
        <v>538</v>
      </c>
      <c r="D19" s="248" t="s">
        <v>697</v>
      </c>
      <c r="E19" s="248">
        <v>100</v>
      </c>
      <c r="F19" s="247">
        <v>11857799</v>
      </c>
      <c r="G19" s="247">
        <v>11130717</v>
      </c>
    </row>
    <row r="20" spans="1:7" ht="38.25">
      <c r="A20" s="13" t="s">
        <v>232</v>
      </c>
      <c r="B20" s="248" t="s">
        <v>535</v>
      </c>
      <c r="C20" s="248" t="s">
        <v>538</v>
      </c>
      <c r="D20" s="248" t="s">
        <v>697</v>
      </c>
      <c r="E20" s="248">
        <v>200</v>
      </c>
      <c r="F20" s="247">
        <f>209440+42500+314825+9600+14400</f>
        <v>590765</v>
      </c>
      <c r="G20" s="247">
        <f>196599+39894+295523+9011+13518</f>
        <v>554545</v>
      </c>
    </row>
    <row r="21" spans="1:7" ht="12.75">
      <c r="A21" s="13" t="s">
        <v>79</v>
      </c>
      <c r="B21" s="248" t="s">
        <v>535</v>
      </c>
      <c r="C21" s="248" t="s">
        <v>538</v>
      </c>
      <c r="D21" s="248" t="s">
        <v>697</v>
      </c>
      <c r="E21" s="248">
        <v>800</v>
      </c>
      <c r="F21" s="247">
        <v>123186</v>
      </c>
      <c r="G21" s="247">
        <v>115633</v>
      </c>
    </row>
    <row r="22" spans="1:7" ht="50.25" customHeight="1">
      <c r="A22" s="269" t="s">
        <v>349</v>
      </c>
      <c r="B22" s="268" t="s">
        <v>535</v>
      </c>
      <c r="C22" s="268" t="s">
        <v>539</v>
      </c>
      <c r="D22" s="268" t="s">
        <v>89</v>
      </c>
      <c r="E22" s="268" t="s">
        <v>89</v>
      </c>
      <c r="F22" s="250">
        <f>F23+F30</f>
        <v>5246452</v>
      </c>
      <c r="G22" s="250">
        <f>G23+G30</f>
        <v>4924788</v>
      </c>
    </row>
    <row r="23" spans="1:7" ht="38.25">
      <c r="A23" s="266" t="s">
        <v>175</v>
      </c>
      <c r="B23" s="248" t="s">
        <v>535</v>
      </c>
      <c r="C23" s="248" t="s">
        <v>539</v>
      </c>
      <c r="D23" s="248" t="s">
        <v>698</v>
      </c>
      <c r="E23" s="248" t="s">
        <v>89</v>
      </c>
      <c r="F23" s="250">
        <f aca="true" t="shared" si="2" ref="F23:G25">F24</f>
        <v>4221347</v>
      </c>
      <c r="G23" s="250">
        <f t="shared" si="2"/>
        <v>3962533</v>
      </c>
    </row>
    <row r="24" spans="1:7" ht="76.5">
      <c r="A24" s="12" t="s">
        <v>177</v>
      </c>
      <c r="B24" s="248" t="s">
        <v>535</v>
      </c>
      <c r="C24" s="248" t="s">
        <v>539</v>
      </c>
      <c r="D24" s="248" t="s">
        <v>699</v>
      </c>
      <c r="E24" s="251" t="s">
        <v>89</v>
      </c>
      <c r="F24" s="250">
        <f t="shared" si="2"/>
        <v>4221347</v>
      </c>
      <c r="G24" s="250">
        <f t="shared" si="2"/>
        <v>3962533</v>
      </c>
    </row>
    <row r="25" spans="1:7" ht="51">
      <c r="A25" s="28" t="s">
        <v>599</v>
      </c>
      <c r="B25" s="248" t="s">
        <v>535</v>
      </c>
      <c r="C25" s="248" t="s">
        <v>539</v>
      </c>
      <c r="D25" s="248" t="s">
        <v>316</v>
      </c>
      <c r="E25" s="251"/>
      <c r="F25" s="250">
        <f t="shared" si="2"/>
        <v>4221347</v>
      </c>
      <c r="G25" s="250">
        <f t="shared" si="2"/>
        <v>3962533</v>
      </c>
    </row>
    <row r="26" spans="1:7" ht="38.25">
      <c r="A26" s="251" t="s">
        <v>736</v>
      </c>
      <c r="B26" s="248" t="s">
        <v>535</v>
      </c>
      <c r="C26" s="248" t="s">
        <v>539</v>
      </c>
      <c r="D26" s="248" t="s">
        <v>700</v>
      </c>
      <c r="E26" s="248" t="s">
        <v>89</v>
      </c>
      <c r="F26" s="250">
        <f>SUM(F27:F29)</f>
        <v>4221347</v>
      </c>
      <c r="G26" s="250">
        <f>SUM(G27:G29)</f>
        <v>3962533</v>
      </c>
    </row>
    <row r="27" spans="1:7" ht="78" customHeight="1">
      <c r="A27" s="13" t="s">
        <v>740</v>
      </c>
      <c r="B27" s="248" t="s">
        <v>535</v>
      </c>
      <c r="C27" s="248" t="s">
        <v>539</v>
      </c>
      <c r="D27" s="248" t="s">
        <v>700</v>
      </c>
      <c r="E27" s="248">
        <v>100</v>
      </c>
      <c r="F27" s="247">
        <v>4151448</v>
      </c>
      <c r="G27" s="247">
        <v>3896920</v>
      </c>
    </row>
    <row r="28" spans="1:7" ht="38.25">
      <c r="A28" s="13" t="s">
        <v>232</v>
      </c>
      <c r="B28" s="248" t="s">
        <v>535</v>
      </c>
      <c r="C28" s="248" t="s">
        <v>539</v>
      </c>
      <c r="D28" s="248" t="s">
        <v>700</v>
      </c>
      <c r="E28" s="248" t="s">
        <v>76</v>
      </c>
      <c r="F28" s="247">
        <f>64899+5000</f>
        <v>69899</v>
      </c>
      <c r="G28" s="247">
        <f>60920+4693</f>
        <v>65613</v>
      </c>
    </row>
    <row r="29" spans="1:7" ht="12.75">
      <c r="A29" s="13" t="s">
        <v>79</v>
      </c>
      <c r="B29" s="248" t="s">
        <v>535</v>
      </c>
      <c r="C29" s="248" t="s">
        <v>539</v>
      </c>
      <c r="D29" s="248" t="s">
        <v>700</v>
      </c>
      <c r="E29" s="248">
        <v>800</v>
      </c>
      <c r="F29" s="247"/>
      <c r="G29" s="247"/>
    </row>
    <row r="30" spans="1:7" ht="38.25">
      <c r="A30" s="266" t="s">
        <v>173</v>
      </c>
      <c r="B30" s="248" t="s">
        <v>535</v>
      </c>
      <c r="C30" s="248" t="s">
        <v>539</v>
      </c>
      <c r="D30" s="249" t="s">
        <v>701</v>
      </c>
      <c r="E30" s="251" t="s">
        <v>89</v>
      </c>
      <c r="F30" s="250">
        <f>F31+F34</f>
        <v>1025105</v>
      </c>
      <c r="G30" s="250">
        <f>G31+G34</f>
        <v>962255</v>
      </c>
    </row>
    <row r="31" spans="1:7" ht="25.5">
      <c r="A31" s="12" t="s">
        <v>174</v>
      </c>
      <c r="B31" s="248" t="s">
        <v>535</v>
      </c>
      <c r="C31" s="248" t="s">
        <v>539</v>
      </c>
      <c r="D31" s="252" t="s">
        <v>702</v>
      </c>
      <c r="E31" s="248" t="s">
        <v>89</v>
      </c>
      <c r="F31" s="250">
        <f>F32</f>
        <v>664065</v>
      </c>
      <c r="G31" s="250">
        <f>G32</f>
        <v>623557</v>
      </c>
    </row>
    <row r="32" spans="1:7" ht="38.25">
      <c r="A32" s="251" t="s">
        <v>736</v>
      </c>
      <c r="B32" s="248" t="s">
        <v>535</v>
      </c>
      <c r="C32" s="248" t="s">
        <v>539</v>
      </c>
      <c r="D32" s="249" t="s">
        <v>703</v>
      </c>
      <c r="E32" s="248"/>
      <c r="F32" s="250">
        <f>SUM(F33:F33)</f>
        <v>664065</v>
      </c>
      <c r="G32" s="250">
        <f>SUM(G33:G33)</f>
        <v>623557</v>
      </c>
    </row>
    <row r="33" spans="1:7" ht="78" customHeight="1">
      <c r="A33" s="13" t="s">
        <v>740</v>
      </c>
      <c r="B33" s="248" t="s">
        <v>535</v>
      </c>
      <c r="C33" s="248" t="s">
        <v>539</v>
      </c>
      <c r="D33" s="249" t="s">
        <v>703</v>
      </c>
      <c r="E33" s="248">
        <v>100</v>
      </c>
      <c r="F33" s="247">
        <v>664065</v>
      </c>
      <c r="G33" s="247">
        <v>623557</v>
      </c>
    </row>
    <row r="34" spans="1:7" ht="25.5">
      <c r="A34" s="13" t="s">
        <v>42</v>
      </c>
      <c r="B34" s="248" t="s">
        <v>535</v>
      </c>
      <c r="C34" s="248" t="s">
        <v>539</v>
      </c>
      <c r="D34" s="252" t="s">
        <v>41</v>
      </c>
      <c r="E34" s="248"/>
      <c r="F34" s="250">
        <f>F35</f>
        <v>361040</v>
      </c>
      <c r="G34" s="250">
        <f>G35</f>
        <v>338698</v>
      </c>
    </row>
    <row r="35" spans="1:7" ht="38.25">
      <c r="A35" s="251" t="s">
        <v>736</v>
      </c>
      <c r="B35" s="248" t="s">
        <v>535</v>
      </c>
      <c r="C35" s="248" t="s">
        <v>539</v>
      </c>
      <c r="D35" s="249" t="s">
        <v>40</v>
      </c>
      <c r="E35" s="248"/>
      <c r="F35" s="250">
        <f>SUM(F36:F37)</f>
        <v>361040</v>
      </c>
      <c r="G35" s="250">
        <f>SUM(G36:G37)</f>
        <v>338698</v>
      </c>
    </row>
    <row r="36" spans="1:7" ht="75" customHeight="1">
      <c r="A36" s="13" t="s">
        <v>740</v>
      </c>
      <c r="B36" s="248" t="s">
        <v>535</v>
      </c>
      <c r="C36" s="248" t="s">
        <v>539</v>
      </c>
      <c r="D36" s="249" t="s">
        <v>40</v>
      </c>
      <c r="E36" s="248">
        <v>100</v>
      </c>
      <c r="F36" s="247">
        <v>361040</v>
      </c>
      <c r="G36" s="247">
        <v>338698</v>
      </c>
    </row>
    <row r="37" spans="1:7" ht="38.25">
      <c r="A37" s="13" t="s">
        <v>232</v>
      </c>
      <c r="B37" s="248" t="s">
        <v>535</v>
      </c>
      <c r="C37" s="248" t="s">
        <v>539</v>
      </c>
      <c r="D37" s="249" t="s">
        <v>40</v>
      </c>
      <c r="E37" s="248">
        <v>200</v>
      </c>
      <c r="F37" s="247"/>
      <c r="G37" s="247"/>
    </row>
    <row r="38" spans="1:7" ht="12.75">
      <c r="A38" s="269" t="s">
        <v>540</v>
      </c>
      <c r="B38" s="268" t="s">
        <v>535</v>
      </c>
      <c r="C38" s="268" t="s">
        <v>541</v>
      </c>
      <c r="D38" s="268" t="s">
        <v>89</v>
      </c>
      <c r="E38" s="268" t="s">
        <v>89</v>
      </c>
      <c r="F38" s="250">
        <f aca="true" t="shared" si="3" ref="F38:G41">F39</f>
        <v>100000</v>
      </c>
      <c r="G38" s="250">
        <f t="shared" si="3"/>
        <v>93869</v>
      </c>
    </row>
    <row r="39" spans="1:7" ht="25.5">
      <c r="A39" s="13" t="s">
        <v>178</v>
      </c>
      <c r="B39" s="248" t="s">
        <v>535</v>
      </c>
      <c r="C39" s="248" t="s">
        <v>541</v>
      </c>
      <c r="D39" s="248" t="s">
        <v>704</v>
      </c>
      <c r="E39" s="248" t="s">
        <v>89</v>
      </c>
      <c r="F39" s="250">
        <f t="shared" si="3"/>
        <v>100000</v>
      </c>
      <c r="G39" s="250">
        <f t="shared" si="3"/>
        <v>93869</v>
      </c>
    </row>
    <row r="40" spans="1:7" ht="12.75">
      <c r="A40" s="13" t="s">
        <v>540</v>
      </c>
      <c r="B40" s="248" t="s">
        <v>535</v>
      </c>
      <c r="C40" s="248" t="s">
        <v>541</v>
      </c>
      <c r="D40" s="248" t="s">
        <v>705</v>
      </c>
      <c r="E40" s="251" t="s">
        <v>89</v>
      </c>
      <c r="F40" s="250">
        <f t="shared" si="3"/>
        <v>100000</v>
      </c>
      <c r="G40" s="250">
        <f t="shared" si="3"/>
        <v>93869</v>
      </c>
    </row>
    <row r="41" spans="1:7" ht="22.5" customHeight="1">
      <c r="A41" s="251" t="s">
        <v>265</v>
      </c>
      <c r="B41" s="248" t="s">
        <v>535</v>
      </c>
      <c r="C41" s="248" t="s">
        <v>541</v>
      </c>
      <c r="D41" s="248" t="s">
        <v>226</v>
      </c>
      <c r="E41" s="264" t="s">
        <v>89</v>
      </c>
      <c r="F41" s="250">
        <f t="shared" si="3"/>
        <v>100000</v>
      </c>
      <c r="G41" s="250">
        <f t="shared" si="3"/>
        <v>93869</v>
      </c>
    </row>
    <row r="42" spans="1:7" ht="12.75">
      <c r="A42" s="13" t="s">
        <v>79</v>
      </c>
      <c r="B42" s="248" t="s">
        <v>535</v>
      </c>
      <c r="C42" s="248" t="s">
        <v>541</v>
      </c>
      <c r="D42" s="248" t="s">
        <v>226</v>
      </c>
      <c r="E42" s="248" t="s">
        <v>80</v>
      </c>
      <c r="F42" s="247">
        <v>100000</v>
      </c>
      <c r="G42" s="247">
        <v>93869</v>
      </c>
    </row>
    <row r="43" spans="1:7" ht="25.5">
      <c r="A43" s="269" t="s">
        <v>475</v>
      </c>
      <c r="B43" s="268" t="s">
        <v>535</v>
      </c>
      <c r="C43" s="268" t="s">
        <v>102</v>
      </c>
      <c r="D43" s="268" t="s">
        <v>89</v>
      </c>
      <c r="E43" s="268" t="s">
        <v>89</v>
      </c>
      <c r="F43" s="250">
        <f>F44+F50+F56+F66+F70+F61</f>
        <v>24174389</v>
      </c>
      <c r="G43" s="250">
        <f>G44+G50+G56+G66+G70+G61</f>
        <v>23023401</v>
      </c>
    </row>
    <row r="44" spans="1:7" ht="76.5">
      <c r="A44" s="194" t="s">
        <v>716</v>
      </c>
      <c r="B44" s="248" t="s">
        <v>535</v>
      </c>
      <c r="C44" s="248" t="s">
        <v>102</v>
      </c>
      <c r="D44" s="249" t="s">
        <v>8</v>
      </c>
      <c r="E44" s="248" t="s">
        <v>89</v>
      </c>
      <c r="F44" s="250">
        <f aca="true" t="shared" si="4" ref="F44:G46">F45</f>
        <v>662105</v>
      </c>
      <c r="G44" s="250">
        <f t="shared" si="4"/>
        <v>903118</v>
      </c>
    </row>
    <row r="45" spans="1:7" ht="51">
      <c r="A45" s="269" t="s">
        <v>480</v>
      </c>
      <c r="B45" s="248" t="s">
        <v>535</v>
      </c>
      <c r="C45" s="248" t="s">
        <v>102</v>
      </c>
      <c r="D45" s="249" t="s">
        <v>9</v>
      </c>
      <c r="E45" s="264" t="s">
        <v>89</v>
      </c>
      <c r="F45" s="250">
        <f t="shared" si="4"/>
        <v>662105</v>
      </c>
      <c r="G45" s="250">
        <f t="shared" si="4"/>
        <v>903118</v>
      </c>
    </row>
    <row r="46" spans="1:7" ht="63.75">
      <c r="A46" s="29" t="s">
        <v>39</v>
      </c>
      <c r="B46" s="248" t="s">
        <v>535</v>
      </c>
      <c r="C46" s="248" t="s">
        <v>102</v>
      </c>
      <c r="D46" s="249" t="s">
        <v>10</v>
      </c>
      <c r="E46" s="264"/>
      <c r="F46" s="250">
        <f t="shared" si="4"/>
        <v>662105</v>
      </c>
      <c r="G46" s="250">
        <f t="shared" si="4"/>
        <v>903118</v>
      </c>
    </row>
    <row r="47" spans="1:7" ht="25.5">
      <c r="A47" s="251" t="s">
        <v>287</v>
      </c>
      <c r="B47" s="248" t="s">
        <v>535</v>
      </c>
      <c r="C47" s="248" t="s">
        <v>102</v>
      </c>
      <c r="D47" s="249" t="s">
        <v>11</v>
      </c>
      <c r="E47" s="264" t="s">
        <v>89</v>
      </c>
      <c r="F47" s="250">
        <f>SUM(F48:F49)</f>
        <v>662105</v>
      </c>
      <c r="G47" s="250">
        <f>SUM(G48:G49)</f>
        <v>903118</v>
      </c>
    </row>
    <row r="48" spans="1:7" ht="38.25">
      <c r="A48" s="13" t="s">
        <v>232</v>
      </c>
      <c r="B48" s="248" t="s">
        <v>535</v>
      </c>
      <c r="C48" s="248" t="s">
        <v>102</v>
      </c>
      <c r="D48" s="249" t="s">
        <v>11</v>
      </c>
      <c r="E48" s="248" t="s">
        <v>76</v>
      </c>
      <c r="F48" s="247">
        <f>350000+153125-300000</f>
        <v>203125</v>
      </c>
      <c r="G48" s="247">
        <v>472278</v>
      </c>
    </row>
    <row r="49" spans="1:7" ht="12.75">
      <c r="A49" s="13" t="s">
        <v>79</v>
      </c>
      <c r="B49" s="248" t="s">
        <v>535</v>
      </c>
      <c r="C49" s="248" t="s">
        <v>102</v>
      </c>
      <c r="D49" s="249" t="s">
        <v>11</v>
      </c>
      <c r="E49" s="248">
        <v>800</v>
      </c>
      <c r="F49" s="247">
        <v>458980</v>
      </c>
      <c r="G49" s="247">
        <v>430840</v>
      </c>
    </row>
    <row r="50" spans="1:7" ht="76.5">
      <c r="A50" s="266" t="s">
        <v>300</v>
      </c>
      <c r="B50" s="248" t="s">
        <v>535</v>
      </c>
      <c r="C50" s="248" t="s">
        <v>102</v>
      </c>
      <c r="D50" s="248" t="s">
        <v>12</v>
      </c>
      <c r="E50" s="248"/>
      <c r="F50" s="250">
        <f aca="true" t="shared" si="5" ref="F50:G53">F51</f>
        <v>50000</v>
      </c>
      <c r="G50" s="250">
        <f t="shared" si="5"/>
        <v>46934</v>
      </c>
    </row>
    <row r="51" spans="1:7" ht="107.25" customHeight="1">
      <c r="A51" s="461" t="s">
        <v>301</v>
      </c>
      <c r="B51" s="248" t="s">
        <v>535</v>
      </c>
      <c r="C51" s="248" t="s">
        <v>102</v>
      </c>
      <c r="D51" s="248" t="s">
        <v>13</v>
      </c>
      <c r="E51" s="248"/>
      <c r="F51" s="250">
        <f t="shared" si="5"/>
        <v>50000</v>
      </c>
      <c r="G51" s="250">
        <f t="shared" si="5"/>
        <v>46934</v>
      </c>
    </row>
    <row r="52" spans="1:7" ht="38.25">
      <c r="A52" s="78" t="s">
        <v>288</v>
      </c>
      <c r="B52" s="76" t="s">
        <v>535</v>
      </c>
      <c r="C52" s="76" t="s">
        <v>102</v>
      </c>
      <c r="D52" s="76" t="s">
        <v>112</v>
      </c>
      <c r="E52" s="76"/>
      <c r="F52" s="250">
        <f t="shared" si="5"/>
        <v>50000</v>
      </c>
      <c r="G52" s="250">
        <f t="shared" si="5"/>
        <v>46934</v>
      </c>
    </row>
    <row r="53" spans="1:7" ht="36">
      <c r="A53" s="30" t="s">
        <v>275</v>
      </c>
      <c r="B53" s="76" t="s">
        <v>535</v>
      </c>
      <c r="C53" s="76" t="s">
        <v>102</v>
      </c>
      <c r="D53" s="76" t="s">
        <v>289</v>
      </c>
      <c r="E53" s="76"/>
      <c r="F53" s="250">
        <f t="shared" si="5"/>
        <v>50000</v>
      </c>
      <c r="G53" s="250">
        <f t="shared" si="5"/>
        <v>46934</v>
      </c>
    </row>
    <row r="54" spans="1:7" ht="38.25">
      <c r="A54" s="78" t="s">
        <v>232</v>
      </c>
      <c r="B54" s="76" t="s">
        <v>535</v>
      </c>
      <c r="C54" s="76" t="s">
        <v>102</v>
      </c>
      <c r="D54" s="76" t="s">
        <v>289</v>
      </c>
      <c r="E54" s="76">
        <v>200</v>
      </c>
      <c r="F54" s="250">
        <v>50000</v>
      </c>
      <c r="G54" s="250">
        <v>46934</v>
      </c>
    </row>
    <row r="55" spans="1:7" ht="38.25" hidden="1">
      <c r="A55" s="13" t="s">
        <v>232</v>
      </c>
      <c r="B55" s="248" t="s">
        <v>535</v>
      </c>
      <c r="C55" s="248" t="s">
        <v>102</v>
      </c>
      <c r="D55" s="248" t="s">
        <v>291</v>
      </c>
      <c r="E55" s="248">
        <v>200</v>
      </c>
      <c r="F55" s="247"/>
      <c r="G55" s="247"/>
    </row>
    <row r="56" spans="1:7" ht="63.75">
      <c r="A56" s="266" t="s">
        <v>718</v>
      </c>
      <c r="B56" s="248" t="s">
        <v>535</v>
      </c>
      <c r="C56" s="248" t="s">
        <v>102</v>
      </c>
      <c r="D56" s="248" t="s">
        <v>113</v>
      </c>
      <c r="E56" s="248"/>
      <c r="F56" s="250">
        <f aca="true" t="shared" si="6" ref="F56:G59">F57</f>
        <v>30000</v>
      </c>
      <c r="G56" s="250">
        <f t="shared" si="6"/>
        <v>28161</v>
      </c>
    </row>
    <row r="57" spans="1:7" ht="89.25">
      <c r="A57" s="12" t="s">
        <v>719</v>
      </c>
      <c r="B57" s="248" t="s">
        <v>535</v>
      </c>
      <c r="C57" s="248" t="s">
        <v>102</v>
      </c>
      <c r="D57" s="248" t="s">
        <v>114</v>
      </c>
      <c r="E57" s="248"/>
      <c r="F57" s="250">
        <f t="shared" si="6"/>
        <v>30000</v>
      </c>
      <c r="G57" s="250">
        <f t="shared" si="6"/>
        <v>28161</v>
      </c>
    </row>
    <row r="58" spans="1:7" ht="38.25">
      <c r="A58" s="13" t="s">
        <v>115</v>
      </c>
      <c r="B58" s="248" t="s">
        <v>535</v>
      </c>
      <c r="C58" s="248" t="s">
        <v>102</v>
      </c>
      <c r="D58" s="248" t="s">
        <v>116</v>
      </c>
      <c r="E58" s="248"/>
      <c r="F58" s="250">
        <f t="shared" si="6"/>
        <v>30000</v>
      </c>
      <c r="G58" s="250">
        <f t="shared" si="6"/>
        <v>28161</v>
      </c>
    </row>
    <row r="59" spans="1:7" ht="51">
      <c r="A59" s="13" t="s">
        <v>118</v>
      </c>
      <c r="B59" s="248" t="s">
        <v>535</v>
      </c>
      <c r="C59" s="248" t="s">
        <v>102</v>
      </c>
      <c r="D59" s="248" t="s">
        <v>117</v>
      </c>
      <c r="E59" s="248"/>
      <c r="F59" s="250">
        <f t="shared" si="6"/>
        <v>30000</v>
      </c>
      <c r="G59" s="250">
        <f t="shared" si="6"/>
        <v>28161</v>
      </c>
    </row>
    <row r="60" spans="1:7" ht="38.25">
      <c r="A60" s="13" t="s">
        <v>232</v>
      </c>
      <c r="B60" s="248" t="s">
        <v>535</v>
      </c>
      <c r="C60" s="248" t="s">
        <v>102</v>
      </c>
      <c r="D60" s="248" t="s">
        <v>117</v>
      </c>
      <c r="E60" s="248">
        <v>200</v>
      </c>
      <c r="F60" s="247">
        <v>30000</v>
      </c>
      <c r="G60" s="247">
        <v>28161</v>
      </c>
    </row>
    <row r="61" spans="1:7" ht="25.5">
      <c r="A61" s="203" t="s">
        <v>473</v>
      </c>
      <c r="B61" s="191" t="s">
        <v>535</v>
      </c>
      <c r="C61" s="191" t="s">
        <v>102</v>
      </c>
      <c r="D61" s="191" t="s">
        <v>694</v>
      </c>
      <c r="E61" s="191" t="s">
        <v>89</v>
      </c>
      <c r="F61" s="190">
        <f>F62</f>
        <v>334700</v>
      </c>
      <c r="G61" s="190">
        <f>G62</f>
        <v>334700</v>
      </c>
    </row>
    <row r="62" spans="1:7" ht="25.5">
      <c r="A62" s="203" t="s">
        <v>477</v>
      </c>
      <c r="B62" s="191" t="s">
        <v>535</v>
      </c>
      <c r="C62" s="191" t="s">
        <v>102</v>
      </c>
      <c r="D62" s="191" t="s">
        <v>695</v>
      </c>
      <c r="E62" s="193" t="s">
        <v>89</v>
      </c>
      <c r="F62" s="190">
        <f>F63</f>
        <v>334700</v>
      </c>
      <c r="G62" s="190">
        <f>G63</f>
        <v>334700</v>
      </c>
    </row>
    <row r="63" spans="1:7" ht="63.75">
      <c r="A63" s="203" t="s">
        <v>297</v>
      </c>
      <c r="B63" s="191" t="s">
        <v>535</v>
      </c>
      <c r="C63" s="191" t="s">
        <v>102</v>
      </c>
      <c r="D63" s="191" t="s">
        <v>696</v>
      </c>
      <c r="E63" s="193"/>
      <c r="F63" s="190">
        <f>SUM(F64:F65)</f>
        <v>334700</v>
      </c>
      <c r="G63" s="190">
        <f>SUM(G64:G65)</f>
        <v>334700</v>
      </c>
    </row>
    <row r="64" spans="1:7" ht="78.75" customHeight="1">
      <c r="A64" s="203" t="s">
        <v>740</v>
      </c>
      <c r="B64" s="191" t="s">
        <v>535</v>
      </c>
      <c r="C64" s="191" t="s">
        <v>102</v>
      </c>
      <c r="D64" s="191" t="s">
        <v>696</v>
      </c>
      <c r="E64" s="193">
        <v>100</v>
      </c>
      <c r="F64" s="202">
        <v>300582</v>
      </c>
      <c r="G64" s="202">
        <v>300582</v>
      </c>
    </row>
    <row r="65" spans="1:7" ht="38.25">
      <c r="A65" s="203" t="s">
        <v>232</v>
      </c>
      <c r="B65" s="191" t="s">
        <v>535</v>
      </c>
      <c r="C65" s="191" t="s">
        <v>102</v>
      </c>
      <c r="D65" s="191" t="s">
        <v>696</v>
      </c>
      <c r="E65" s="193">
        <v>200</v>
      </c>
      <c r="F65" s="202">
        <v>34118</v>
      </c>
      <c r="G65" s="202">
        <v>34118</v>
      </c>
    </row>
    <row r="66" spans="1:7" ht="38.25">
      <c r="A66" s="13" t="s">
        <v>525</v>
      </c>
      <c r="B66" s="248" t="s">
        <v>535</v>
      </c>
      <c r="C66" s="248" t="s">
        <v>102</v>
      </c>
      <c r="D66" s="249" t="s">
        <v>524</v>
      </c>
      <c r="E66" s="248"/>
      <c r="F66" s="250">
        <f aca="true" t="shared" si="7" ref="F66:G68">F67</f>
        <v>59900</v>
      </c>
      <c r="G66" s="250">
        <f t="shared" si="7"/>
        <v>56227</v>
      </c>
    </row>
    <row r="67" spans="1:7" ht="25.5">
      <c r="A67" s="12" t="s">
        <v>523</v>
      </c>
      <c r="B67" s="248" t="s">
        <v>535</v>
      </c>
      <c r="C67" s="248" t="s">
        <v>102</v>
      </c>
      <c r="D67" s="249" t="s">
        <v>522</v>
      </c>
      <c r="E67" s="248"/>
      <c r="F67" s="250">
        <f t="shared" si="7"/>
        <v>59900</v>
      </c>
      <c r="G67" s="250">
        <f t="shared" si="7"/>
        <v>56227</v>
      </c>
    </row>
    <row r="68" spans="1:7" ht="38.25">
      <c r="A68" s="251" t="s">
        <v>38</v>
      </c>
      <c r="B68" s="248" t="s">
        <v>535</v>
      </c>
      <c r="C68" s="248" t="s">
        <v>102</v>
      </c>
      <c r="D68" s="249" t="s">
        <v>721</v>
      </c>
      <c r="E68" s="248"/>
      <c r="F68" s="250">
        <f t="shared" si="7"/>
        <v>59900</v>
      </c>
      <c r="G68" s="250">
        <f t="shared" si="7"/>
        <v>56227</v>
      </c>
    </row>
    <row r="69" spans="1:7" ht="12.75">
      <c r="A69" s="13" t="s">
        <v>79</v>
      </c>
      <c r="B69" s="248" t="s">
        <v>535</v>
      </c>
      <c r="C69" s="248" t="s">
        <v>102</v>
      </c>
      <c r="D69" s="249" t="s">
        <v>721</v>
      </c>
      <c r="E69" s="248">
        <v>800</v>
      </c>
      <c r="F69" s="247">
        <v>59900</v>
      </c>
      <c r="G69" s="247">
        <v>56227</v>
      </c>
    </row>
    <row r="70" spans="1:7" ht="25.5">
      <c r="A70" s="266" t="s">
        <v>631</v>
      </c>
      <c r="B70" s="248" t="s">
        <v>535</v>
      </c>
      <c r="C70" s="248" t="s">
        <v>102</v>
      </c>
      <c r="D70" s="249" t="s">
        <v>14</v>
      </c>
      <c r="E70" s="264" t="s">
        <v>89</v>
      </c>
      <c r="F70" s="250">
        <f>F71</f>
        <v>23037684</v>
      </c>
      <c r="G70" s="250">
        <f>G71</f>
        <v>21654261</v>
      </c>
    </row>
    <row r="71" spans="1:7" ht="25.5">
      <c r="A71" s="12" t="s">
        <v>641</v>
      </c>
      <c r="B71" s="248" t="s">
        <v>535</v>
      </c>
      <c r="C71" s="248" t="s">
        <v>102</v>
      </c>
      <c r="D71" s="252" t="s">
        <v>16</v>
      </c>
      <c r="E71" s="265" t="s">
        <v>89</v>
      </c>
      <c r="F71" s="250">
        <f>F72+F76+F78+F80</f>
        <v>23037684</v>
      </c>
      <c r="G71" s="250">
        <f>G72+G76+G78+G80</f>
        <v>21654261</v>
      </c>
    </row>
    <row r="72" spans="1:7" ht="38.25">
      <c r="A72" s="251" t="s">
        <v>498</v>
      </c>
      <c r="B72" s="248" t="s">
        <v>535</v>
      </c>
      <c r="C72" s="248" t="s">
        <v>102</v>
      </c>
      <c r="D72" s="249" t="s">
        <v>18</v>
      </c>
      <c r="E72" s="264" t="s">
        <v>89</v>
      </c>
      <c r="F72" s="250">
        <f>SUM(F73:F75)</f>
        <v>22740334</v>
      </c>
      <c r="G72" s="250">
        <f>SUM(G73:G75)</f>
        <v>21346108</v>
      </c>
    </row>
    <row r="73" spans="1:7" ht="80.25" customHeight="1">
      <c r="A73" s="13" t="s">
        <v>740</v>
      </c>
      <c r="B73" s="248" t="s">
        <v>535</v>
      </c>
      <c r="C73" s="248" t="s">
        <v>102</v>
      </c>
      <c r="D73" s="249" t="s">
        <v>18</v>
      </c>
      <c r="E73" s="248" t="s">
        <v>597</v>
      </c>
      <c r="F73" s="247">
        <v>21759087</v>
      </c>
      <c r="G73" s="247">
        <f>15677788+4747234</f>
        <v>20425022</v>
      </c>
    </row>
    <row r="74" spans="1:7" ht="38.25">
      <c r="A74" s="13" t="s">
        <v>232</v>
      </c>
      <c r="B74" s="248" t="s">
        <v>535</v>
      </c>
      <c r="C74" s="248" t="s">
        <v>102</v>
      </c>
      <c r="D74" s="249" t="s">
        <v>18</v>
      </c>
      <c r="E74" s="248" t="s">
        <v>76</v>
      </c>
      <c r="F74" s="247">
        <f>29400+15000+350000+540000</f>
        <v>934400</v>
      </c>
      <c r="G74" s="247">
        <f>27597+14080+328541+506893</f>
        <v>877111</v>
      </c>
    </row>
    <row r="75" spans="1:7" ht="12.75">
      <c r="A75" s="13" t="s">
        <v>79</v>
      </c>
      <c r="B75" s="248" t="s">
        <v>535</v>
      </c>
      <c r="C75" s="248" t="s">
        <v>102</v>
      </c>
      <c r="D75" s="249" t="s">
        <v>18</v>
      </c>
      <c r="E75" s="248" t="s">
        <v>80</v>
      </c>
      <c r="F75" s="247">
        <v>46847</v>
      </c>
      <c r="G75" s="247">
        <v>43975</v>
      </c>
    </row>
    <row r="76" spans="1:7" ht="38.25" hidden="1">
      <c r="A76" s="251" t="s">
        <v>38</v>
      </c>
      <c r="B76" s="248" t="s">
        <v>535</v>
      </c>
      <c r="C76" s="248" t="s">
        <v>102</v>
      </c>
      <c r="D76" s="249" t="s">
        <v>345</v>
      </c>
      <c r="E76" s="248"/>
      <c r="F76" s="247">
        <f>F77</f>
        <v>0</v>
      </c>
      <c r="G76" s="247">
        <f>G77</f>
        <v>0</v>
      </c>
    </row>
    <row r="77" spans="1:7" ht="12.75" hidden="1">
      <c r="A77" s="13" t="s">
        <v>79</v>
      </c>
      <c r="B77" s="248" t="s">
        <v>535</v>
      </c>
      <c r="C77" s="248" t="s">
        <v>102</v>
      </c>
      <c r="D77" s="249" t="s">
        <v>345</v>
      </c>
      <c r="E77" s="248">
        <v>800</v>
      </c>
      <c r="F77" s="247"/>
      <c r="G77" s="247"/>
    </row>
    <row r="78" spans="1:7" ht="38.25">
      <c r="A78" s="251" t="s">
        <v>468</v>
      </c>
      <c r="B78" s="248" t="s">
        <v>535</v>
      </c>
      <c r="C78" s="248" t="s">
        <v>102</v>
      </c>
      <c r="D78" s="249" t="s">
        <v>19</v>
      </c>
      <c r="E78" s="264" t="s">
        <v>89</v>
      </c>
      <c r="F78" s="250">
        <f>F79</f>
        <v>130000</v>
      </c>
      <c r="G78" s="250">
        <f>G79</f>
        <v>140803</v>
      </c>
    </row>
    <row r="79" spans="1:7" ht="38.25">
      <c r="A79" s="13" t="s">
        <v>232</v>
      </c>
      <c r="B79" s="248" t="s">
        <v>535</v>
      </c>
      <c r="C79" s="248" t="s">
        <v>102</v>
      </c>
      <c r="D79" s="249" t="s">
        <v>19</v>
      </c>
      <c r="E79" s="249">
        <v>200</v>
      </c>
      <c r="F79" s="247">
        <f>150000-20000</f>
        <v>130000</v>
      </c>
      <c r="G79" s="247">
        <v>140803</v>
      </c>
    </row>
    <row r="80" spans="1:7" ht="89.25">
      <c r="A80" s="27" t="s">
        <v>772</v>
      </c>
      <c r="B80" s="248" t="s">
        <v>535</v>
      </c>
      <c r="C80" s="248" t="s">
        <v>102</v>
      </c>
      <c r="D80" s="249" t="s">
        <v>48</v>
      </c>
      <c r="E80" s="249"/>
      <c r="F80" s="250">
        <f>SUM(F81:F82)</f>
        <v>167350</v>
      </c>
      <c r="G80" s="250">
        <f>SUM(G81:G82)</f>
        <v>167350</v>
      </c>
    </row>
    <row r="81" spans="1:7" ht="79.5" customHeight="1">
      <c r="A81" s="13" t="s">
        <v>740</v>
      </c>
      <c r="B81" s="248" t="s">
        <v>535</v>
      </c>
      <c r="C81" s="248" t="s">
        <v>102</v>
      </c>
      <c r="D81" s="249" t="s">
        <v>48</v>
      </c>
      <c r="E81" s="249">
        <v>100</v>
      </c>
      <c r="F81" s="202">
        <v>124992</v>
      </c>
      <c r="G81" s="202">
        <v>124992</v>
      </c>
    </row>
    <row r="82" spans="1:7" ht="38.25">
      <c r="A82" s="246" t="s">
        <v>232</v>
      </c>
      <c r="B82" s="244" t="s">
        <v>535</v>
      </c>
      <c r="C82" s="244" t="s">
        <v>102</v>
      </c>
      <c r="D82" s="245" t="s">
        <v>48</v>
      </c>
      <c r="E82" s="245">
        <v>200</v>
      </c>
      <c r="F82" s="186">
        <v>42358</v>
      </c>
      <c r="G82" s="186">
        <v>42358</v>
      </c>
    </row>
    <row r="83" spans="1:7" ht="12.75">
      <c r="A83" s="226" t="s">
        <v>527</v>
      </c>
      <c r="B83" s="224" t="s">
        <v>537</v>
      </c>
      <c r="C83" s="271" t="s">
        <v>466</v>
      </c>
      <c r="D83" s="224" t="s">
        <v>89</v>
      </c>
      <c r="E83" s="224" t="s">
        <v>89</v>
      </c>
      <c r="F83" s="223">
        <f aca="true" t="shared" si="8" ref="F83:G87">F84</f>
        <v>16200</v>
      </c>
      <c r="G83" s="223">
        <f t="shared" si="8"/>
        <v>15207</v>
      </c>
    </row>
    <row r="84" spans="1:7" ht="25.5">
      <c r="A84" s="269" t="s">
        <v>526</v>
      </c>
      <c r="B84" s="268" t="s">
        <v>537</v>
      </c>
      <c r="C84" s="268" t="s">
        <v>538</v>
      </c>
      <c r="D84" s="267" t="s">
        <v>89</v>
      </c>
      <c r="E84" s="267" t="s">
        <v>89</v>
      </c>
      <c r="F84" s="250">
        <f t="shared" si="8"/>
        <v>16200</v>
      </c>
      <c r="G84" s="250">
        <f t="shared" si="8"/>
        <v>15207</v>
      </c>
    </row>
    <row r="85" spans="1:7" ht="38.25">
      <c r="A85" s="13" t="s">
        <v>525</v>
      </c>
      <c r="B85" s="248" t="s">
        <v>537</v>
      </c>
      <c r="C85" s="248" t="s">
        <v>538</v>
      </c>
      <c r="D85" s="249" t="s">
        <v>524</v>
      </c>
      <c r="E85" s="264" t="s">
        <v>89</v>
      </c>
      <c r="F85" s="250">
        <f t="shared" si="8"/>
        <v>16200</v>
      </c>
      <c r="G85" s="250">
        <f t="shared" si="8"/>
        <v>15207</v>
      </c>
    </row>
    <row r="86" spans="1:7" ht="25.5">
      <c r="A86" s="13" t="s">
        <v>523</v>
      </c>
      <c r="B86" s="248" t="s">
        <v>537</v>
      </c>
      <c r="C86" s="248" t="s">
        <v>538</v>
      </c>
      <c r="D86" s="249" t="s">
        <v>522</v>
      </c>
      <c r="E86" s="264"/>
      <c r="F86" s="250">
        <f t="shared" si="8"/>
        <v>16200</v>
      </c>
      <c r="G86" s="250">
        <f t="shared" si="8"/>
        <v>15207</v>
      </c>
    </row>
    <row r="87" spans="1:7" ht="25.5">
      <c r="A87" s="33" t="s">
        <v>521</v>
      </c>
      <c r="B87" s="248" t="s">
        <v>537</v>
      </c>
      <c r="C87" s="248" t="s">
        <v>538</v>
      </c>
      <c r="D87" s="249" t="s">
        <v>520</v>
      </c>
      <c r="E87" s="265" t="s">
        <v>89</v>
      </c>
      <c r="F87" s="250">
        <f t="shared" si="8"/>
        <v>16200</v>
      </c>
      <c r="G87" s="250">
        <f t="shared" si="8"/>
        <v>15207</v>
      </c>
    </row>
    <row r="88" spans="1:7" ht="27.75" customHeight="1">
      <c r="A88" s="246" t="s">
        <v>93</v>
      </c>
      <c r="B88" s="244" t="s">
        <v>537</v>
      </c>
      <c r="C88" s="244" t="s">
        <v>538</v>
      </c>
      <c r="D88" s="245" t="s">
        <v>520</v>
      </c>
      <c r="E88" s="244">
        <v>200</v>
      </c>
      <c r="F88" s="243">
        <v>16200</v>
      </c>
      <c r="G88" s="243">
        <v>15207</v>
      </c>
    </row>
    <row r="89" spans="1:7" ht="31.5" customHeight="1">
      <c r="A89" s="226" t="s">
        <v>476</v>
      </c>
      <c r="B89" s="224" t="s">
        <v>103</v>
      </c>
      <c r="C89" s="271" t="s">
        <v>466</v>
      </c>
      <c r="D89" s="224" t="s">
        <v>89</v>
      </c>
      <c r="E89" s="224" t="s">
        <v>89</v>
      </c>
      <c r="F89" s="223">
        <f aca="true" t="shared" si="9" ref="F89:G93">F90</f>
        <v>2707710</v>
      </c>
      <c r="G89" s="223">
        <f t="shared" si="9"/>
        <v>2541699</v>
      </c>
    </row>
    <row r="90" spans="1:7" ht="51">
      <c r="A90" s="269" t="s">
        <v>485</v>
      </c>
      <c r="B90" s="268" t="s">
        <v>103</v>
      </c>
      <c r="C90" s="268">
        <v>10</v>
      </c>
      <c r="D90" s="268" t="s">
        <v>89</v>
      </c>
      <c r="E90" s="268" t="s">
        <v>89</v>
      </c>
      <c r="F90" s="250">
        <f t="shared" si="9"/>
        <v>2707710</v>
      </c>
      <c r="G90" s="250">
        <f t="shared" si="9"/>
        <v>2541699</v>
      </c>
    </row>
    <row r="91" spans="1:7" ht="76.5">
      <c r="A91" s="266" t="s">
        <v>486</v>
      </c>
      <c r="B91" s="248" t="s">
        <v>103</v>
      </c>
      <c r="C91" s="248">
        <v>10</v>
      </c>
      <c r="D91" s="249" t="s">
        <v>20</v>
      </c>
      <c r="E91" s="248" t="s">
        <v>89</v>
      </c>
      <c r="F91" s="250">
        <f t="shared" si="9"/>
        <v>2707710</v>
      </c>
      <c r="G91" s="250">
        <f t="shared" si="9"/>
        <v>2541699</v>
      </c>
    </row>
    <row r="92" spans="1:7" ht="113.25" customHeight="1">
      <c r="A92" s="12" t="s">
        <v>298</v>
      </c>
      <c r="B92" s="248" t="s">
        <v>103</v>
      </c>
      <c r="C92" s="248">
        <v>10</v>
      </c>
      <c r="D92" s="249" t="s">
        <v>894</v>
      </c>
      <c r="E92" s="248"/>
      <c r="F92" s="250">
        <f t="shared" si="9"/>
        <v>2707710</v>
      </c>
      <c r="G92" s="250">
        <f t="shared" si="9"/>
        <v>2541699</v>
      </c>
    </row>
    <row r="93" spans="1:7" ht="90" customHeight="1">
      <c r="A93" s="28" t="s">
        <v>263</v>
      </c>
      <c r="B93" s="248" t="s">
        <v>103</v>
      </c>
      <c r="C93" s="248">
        <v>10</v>
      </c>
      <c r="D93" s="249" t="s">
        <v>951</v>
      </c>
      <c r="E93" s="248"/>
      <c r="F93" s="250">
        <f t="shared" si="9"/>
        <v>2707710</v>
      </c>
      <c r="G93" s="250">
        <f t="shared" si="9"/>
        <v>2541699</v>
      </c>
    </row>
    <row r="94" spans="1:7" ht="38.25">
      <c r="A94" s="251" t="s">
        <v>498</v>
      </c>
      <c r="B94" s="248" t="s">
        <v>103</v>
      </c>
      <c r="C94" s="248">
        <v>10</v>
      </c>
      <c r="D94" s="249" t="s">
        <v>946</v>
      </c>
      <c r="E94" s="248" t="s">
        <v>89</v>
      </c>
      <c r="F94" s="250">
        <f>SUM(F95:F97)</f>
        <v>2707710</v>
      </c>
      <c r="G94" s="250">
        <f>SUM(G95:G97)</f>
        <v>2541699</v>
      </c>
    </row>
    <row r="95" spans="1:7" ht="79.5" customHeight="1">
      <c r="A95" s="13" t="s">
        <v>740</v>
      </c>
      <c r="B95" s="248" t="s">
        <v>103</v>
      </c>
      <c r="C95" s="248">
        <v>10</v>
      </c>
      <c r="D95" s="249" t="s">
        <v>946</v>
      </c>
      <c r="E95" s="248" t="s">
        <v>597</v>
      </c>
      <c r="F95" s="247">
        <v>2562144</v>
      </c>
      <c r="G95" s="247">
        <v>2405057</v>
      </c>
    </row>
    <row r="96" spans="1:7" ht="38.25">
      <c r="A96" s="13" t="s">
        <v>232</v>
      </c>
      <c r="B96" s="248" t="s">
        <v>103</v>
      </c>
      <c r="C96" s="248">
        <v>10</v>
      </c>
      <c r="D96" s="249" t="s">
        <v>946</v>
      </c>
      <c r="E96" s="248" t="s">
        <v>76</v>
      </c>
      <c r="F96" s="247">
        <f>46000+63026+35340</f>
        <v>144366</v>
      </c>
      <c r="G96" s="247">
        <f>43180+33173+59162</f>
        <v>135515</v>
      </c>
    </row>
    <row r="97" spans="1:7" ht="12.75">
      <c r="A97" s="246" t="s">
        <v>79</v>
      </c>
      <c r="B97" s="244" t="s">
        <v>103</v>
      </c>
      <c r="C97" s="244">
        <v>10</v>
      </c>
      <c r="D97" s="249" t="s">
        <v>946</v>
      </c>
      <c r="E97" s="244" t="s">
        <v>80</v>
      </c>
      <c r="F97" s="243">
        <v>1200</v>
      </c>
      <c r="G97" s="243">
        <v>1127</v>
      </c>
    </row>
    <row r="98" spans="1:7" ht="12.75">
      <c r="A98" s="226" t="s">
        <v>728</v>
      </c>
      <c r="B98" s="224" t="s">
        <v>538</v>
      </c>
      <c r="C98" s="271" t="s">
        <v>466</v>
      </c>
      <c r="D98" s="224" t="s">
        <v>89</v>
      </c>
      <c r="E98" s="224" t="s">
        <v>89</v>
      </c>
      <c r="F98" s="223">
        <f>F99+F110+F126</f>
        <v>4446074</v>
      </c>
      <c r="G98" s="223">
        <f>G99+G110+G126</f>
        <v>27283784.16</v>
      </c>
    </row>
    <row r="99" spans="1:7" ht="12.75">
      <c r="A99" s="269" t="s">
        <v>729</v>
      </c>
      <c r="B99" s="268" t="s">
        <v>538</v>
      </c>
      <c r="C99" s="268" t="s">
        <v>535</v>
      </c>
      <c r="D99" s="268" t="s">
        <v>89</v>
      </c>
      <c r="E99" s="268" t="s">
        <v>89</v>
      </c>
      <c r="F99" s="250">
        <f>F100</f>
        <v>428121</v>
      </c>
      <c r="G99" s="250">
        <f>G100</f>
        <v>422394</v>
      </c>
    </row>
    <row r="100" spans="1:7" ht="51">
      <c r="A100" s="266" t="s">
        <v>707</v>
      </c>
      <c r="B100" s="248" t="s">
        <v>538</v>
      </c>
      <c r="C100" s="248" t="s">
        <v>535</v>
      </c>
      <c r="D100" s="249" t="s">
        <v>22</v>
      </c>
      <c r="E100" s="248" t="s">
        <v>89</v>
      </c>
      <c r="F100" s="250">
        <f>F101+F105</f>
        <v>428121</v>
      </c>
      <c r="G100" s="250">
        <f>G101+G105</f>
        <v>422394</v>
      </c>
    </row>
    <row r="101" spans="1:7" ht="63" customHeight="1">
      <c r="A101" s="12" t="s">
        <v>589</v>
      </c>
      <c r="B101" s="248" t="s">
        <v>538</v>
      </c>
      <c r="C101" s="248" t="s">
        <v>535</v>
      </c>
      <c r="D101" s="249" t="s">
        <v>23</v>
      </c>
      <c r="E101" s="248"/>
      <c r="F101" s="250">
        <f aca="true" t="shared" si="10" ref="F101:G103">F102</f>
        <v>93421</v>
      </c>
      <c r="G101" s="250">
        <f t="shared" si="10"/>
        <v>87694</v>
      </c>
    </row>
    <row r="102" spans="1:7" ht="63.75">
      <c r="A102" s="29" t="s">
        <v>519</v>
      </c>
      <c r="B102" s="248" t="s">
        <v>538</v>
      </c>
      <c r="C102" s="248" t="s">
        <v>535</v>
      </c>
      <c r="D102" s="249" t="s">
        <v>24</v>
      </c>
      <c r="E102" s="248"/>
      <c r="F102" s="250">
        <f t="shared" si="10"/>
        <v>93421</v>
      </c>
      <c r="G102" s="250">
        <f t="shared" si="10"/>
        <v>87694</v>
      </c>
    </row>
    <row r="103" spans="1:7" ht="25.5">
      <c r="A103" s="13" t="s">
        <v>706</v>
      </c>
      <c r="B103" s="248" t="s">
        <v>538</v>
      </c>
      <c r="C103" s="248" t="s">
        <v>535</v>
      </c>
      <c r="D103" s="249" t="s">
        <v>25</v>
      </c>
      <c r="E103" s="248"/>
      <c r="F103" s="250">
        <f t="shared" si="10"/>
        <v>93421</v>
      </c>
      <c r="G103" s="250">
        <f t="shared" si="10"/>
        <v>87694</v>
      </c>
    </row>
    <row r="104" spans="1:7" ht="39.75" customHeight="1">
      <c r="A104" s="13" t="s">
        <v>92</v>
      </c>
      <c r="B104" s="248" t="s">
        <v>538</v>
      </c>
      <c r="C104" s="248" t="s">
        <v>535</v>
      </c>
      <c r="D104" s="249" t="s">
        <v>25</v>
      </c>
      <c r="E104" s="248">
        <v>600</v>
      </c>
      <c r="F104" s="247">
        <v>93421</v>
      </c>
      <c r="G104" s="247">
        <v>87694</v>
      </c>
    </row>
    <row r="105" spans="1:7" ht="63.75">
      <c r="A105" s="12" t="s">
        <v>590</v>
      </c>
      <c r="B105" s="248" t="s">
        <v>538</v>
      </c>
      <c r="C105" s="248" t="s">
        <v>535</v>
      </c>
      <c r="D105" s="249" t="s">
        <v>28</v>
      </c>
      <c r="E105" s="248"/>
      <c r="F105" s="250">
        <f>F106</f>
        <v>334700</v>
      </c>
      <c r="G105" s="250">
        <f>G106</f>
        <v>334700</v>
      </c>
    </row>
    <row r="106" spans="1:7" ht="63.75">
      <c r="A106" s="28" t="s">
        <v>457</v>
      </c>
      <c r="B106" s="248" t="s">
        <v>538</v>
      </c>
      <c r="C106" s="248" t="s">
        <v>535</v>
      </c>
      <c r="D106" s="249" t="s">
        <v>29</v>
      </c>
      <c r="E106" s="248"/>
      <c r="F106" s="250">
        <f>F107</f>
        <v>334700</v>
      </c>
      <c r="G106" s="250">
        <f>G107</f>
        <v>334700</v>
      </c>
    </row>
    <row r="107" spans="1:7" ht="38.25">
      <c r="A107" s="251" t="s">
        <v>474</v>
      </c>
      <c r="B107" s="248" t="s">
        <v>538</v>
      </c>
      <c r="C107" s="248" t="s">
        <v>535</v>
      </c>
      <c r="D107" s="249" t="s">
        <v>30</v>
      </c>
      <c r="E107" s="264" t="s">
        <v>89</v>
      </c>
      <c r="F107" s="250">
        <f>SUM(F108:F109)</f>
        <v>334700</v>
      </c>
      <c r="G107" s="250">
        <f>SUM(G108:G109)</f>
        <v>334700</v>
      </c>
    </row>
    <row r="108" spans="1:8" ht="75" customHeight="1">
      <c r="A108" s="13" t="s">
        <v>740</v>
      </c>
      <c r="B108" s="248" t="s">
        <v>538</v>
      </c>
      <c r="C108" s="248" t="s">
        <v>535</v>
      </c>
      <c r="D108" s="249" t="s">
        <v>30</v>
      </c>
      <c r="E108" s="248">
        <v>100</v>
      </c>
      <c r="F108" s="247">
        <f>334700-3000</f>
        <v>331700</v>
      </c>
      <c r="G108" s="247">
        <f>334700-3000</f>
        <v>331700</v>
      </c>
      <c r="H108" s="436"/>
    </row>
    <row r="109" spans="1:8" ht="23.25" customHeight="1">
      <c r="A109" s="246" t="s">
        <v>93</v>
      </c>
      <c r="B109" s="248" t="s">
        <v>538</v>
      </c>
      <c r="C109" s="248" t="s">
        <v>535</v>
      </c>
      <c r="D109" s="249" t="s">
        <v>30</v>
      </c>
      <c r="E109" s="248">
        <v>200</v>
      </c>
      <c r="F109" s="247">
        <v>3000</v>
      </c>
      <c r="G109" s="247">
        <v>3000</v>
      </c>
      <c r="H109" s="436"/>
    </row>
    <row r="110" spans="1:7" ht="25.5">
      <c r="A110" s="269" t="s">
        <v>88</v>
      </c>
      <c r="B110" s="268" t="s">
        <v>538</v>
      </c>
      <c r="C110" s="268" t="s">
        <v>104</v>
      </c>
      <c r="D110" s="267" t="s">
        <v>89</v>
      </c>
      <c r="E110" s="267" t="s">
        <v>89</v>
      </c>
      <c r="F110" s="250">
        <f>F111</f>
        <v>2927430</v>
      </c>
      <c r="G110" s="250">
        <f>G111</f>
        <v>26654878.16</v>
      </c>
    </row>
    <row r="111" spans="1:7" ht="80.25" customHeight="1">
      <c r="A111" s="266" t="s">
        <v>482</v>
      </c>
      <c r="B111" s="248" t="s">
        <v>538</v>
      </c>
      <c r="C111" s="248" t="s">
        <v>104</v>
      </c>
      <c r="D111" s="249" t="s">
        <v>31</v>
      </c>
      <c r="E111" s="264" t="s">
        <v>89</v>
      </c>
      <c r="F111" s="250">
        <f>F112+F122</f>
        <v>2927430</v>
      </c>
      <c r="G111" s="250">
        <f>G112+G122</f>
        <v>26654878.16</v>
      </c>
    </row>
    <row r="112" spans="1:7" ht="114.75">
      <c r="A112" s="12" t="s">
        <v>49</v>
      </c>
      <c r="B112" s="248" t="s">
        <v>538</v>
      </c>
      <c r="C112" s="248" t="s">
        <v>104</v>
      </c>
      <c r="D112" s="252" t="s">
        <v>237</v>
      </c>
      <c r="E112" s="265" t="s">
        <v>89</v>
      </c>
      <c r="F112" s="250">
        <f>F113+F116+F119</f>
        <v>2727158</v>
      </c>
      <c r="G112" s="250">
        <f>G113+G116+G119</f>
        <v>26654878.16</v>
      </c>
    </row>
    <row r="113" spans="1:7" ht="38.25">
      <c r="A113" s="29" t="s">
        <v>236</v>
      </c>
      <c r="B113" s="248" t="s">
        <v>538</v>
      </c>
      <c r="C113" s="248" t="s">
        <v>104</v>
      </c>
      <c r="D113" s="249" t="s">
        <v>235</v>
      </c>
      <c r="E113" s="265"/>
      <c r="F113" s="250">
        <f>F114</f>
        <v>299728</v>
      </c>
      <c r="G113" s="250">
        <f>G114</f>
        <v>0</v>
      </c>
    </row>
    <row r="114" spans="1:7" ht="40.5" customHeight="1">
      <c r="A114" s="33" t="s">
        <v>33</v>
      </c>
      <c r="B114" s="248" t="s">
        <v>538</v>
      </c>
      <c r="C114" s="248" t="s">
        <v>104</v>
      </c>
      <c r="D114" s="249" t="s">
        <v>234</v>
      </c>
      <c r="E114" s="265"/>
      <c r="F114" s="250">
        <f>F115</f>
        <v>299728</v>
      </c>
      <c r="G114" s="250">
        <f>G115</f>
        <v>0</v>
      </c>
    </row>
    <row r="115" spans="1:7" ht="12.75">
      <c r="A115" s="13" t="s">
        <v>79</v>
      </c>
      <c r="B115" s="248" t="s">
        <v>538</v>
      </c>
      <c r="C115" s="248" t="s">
        <v>104</v>
      </c>
      <c r="D115" s="249" t="s">
        <v>234</v>
      </c>
      <c r="E115" s="251">
        <v>800</v>
      </c>
      <c r="F115" s="247">
        <f>500000-200272</f>
        <v>299728</v>
      </c>
      <c r="G115" s="247"/>
    </row>
    <row r="116" spans="1:7" ht="41.25" customHeight="1">
      <c r="A116" s="29" t="s">
        <v>233</v>
      </c>
      <c r="B116" s="248" t="s">
        <v>538</v>
      </c>
      <c r="C116" s="248" t="s">
        <v>104</v>
      </c>
      <c r="D116" s="249" t="s">
        <v>254</v>
      </c>
      <c r="E116" s="265"/>
      <c r="F116" s="250">
        <f>F117</f>
        <v>2427430</v>
      </c>
      <c r="G116" s="250">
        <f>G117</f>
        <v>26654878.16</v>
      </c>
    </row>
    <row r="117" spans="1:7" ht="49.5" customHeight="1">
      <c r="A117" s="74" t="s">
        <v>633</v>
      </c>
      <c r="B117" s="248" t="s">
        <v>538</v>
      </c>
      <c r="C117" s="248" t="s">
        <v>104</v>
      </c>
      <c r="D117" s="72" t="s">
        <v>632</v>
      </c>
      <c r="E117" s="248" t="s">
        <v>89</v>
      </c>
      <c r="F117" s="250">
        <f>F118</f>
        <v>2427430</v>
      </c>
      <c r="G117" s="250">
        <f>G118</f>
        <v>26654878.16</v>
      </c>
    </row>
    <row r="118" spans="1:7" ht="38.25">
      <c r="A118" s="13" t="s">
        <v>232</v>
      </c>
      <c r="B118" s="248" t="s">
        <v>538</v>
      </c>
      <c r="C118" s="248" t="s">
        <v>104</v>
      </c>
      <c r="D118" s="72" t="s">
        <v>632</v>
      </c>
      <c r="E118" s="248">
        <v>200</v>
      </c>
      <c r="F118" s="247">
        <v>2427430</v>
      </c>
      <c r="G118" s="247">
        <f>2499680+299728+200272+23655198.16</f>
        <v>26654878.16</v>
      </c>
    </row>
    <row r="119" spans="1:7" ht="63.75" hidden="1">
      <c r="A119" s="13" t="s">
        <v>67</v>
      </c>
      <c r="B119" s="248" t="s">
        <v>538</v>
      </c>
      <c r="C119" s="248" t="s">
        <v>104</v>
      </c>
      <c r="D119" s="249" t="s">
        <v>68</v>
      </c>
      <c r="E119" s="248"/>
      <c r="F119" s="250">
        <f>F120</f>
        <v>0</v>
      </c>
      <c r="G119" s="250">
        <f>G120</f>
        <v>0</v>
      </c>
    </row>
    <row r="120" spans="1:7" ht="36" hidden="1">
      <c r="A120" s="30" t="s">
        <v>749</v>
      </c>
      <c r="B120" s="248" t="s">
        <v>538</v>
      </c>
      <c r="C120" s="248" t="s">
        <v>104</v>
      </c>
      <c r="D120" s="249" t="s">
        <v>750</v>
      </c>
      <c r="E120" s="248"/>
      <c r="F120" s="250">
        <f>F121</f>
        <v>0</v>
      </c>
      <c r="G120" s="250">
        <f>G121</f>
        <v>0</v>
      </c>
    </row>
    <row r="121" spans="1:7" ht="38.25" hidden="1">
      <c r="A121" s="13" t="s">
        <v>225</v>
      </c>
      <c r="B121" s="248" t="s">
        <v>538</v>
      </c>
      <c r="C121" s="248" t="s">
        <v>104</v>
      </c>
      <c r="D121" s="249" t="s">
        <v>750</v>
      </c>
      <c r="E121" s="248">
        <v>400</v>
      </c>
      <c r="F121" s="247"/>
      <c r="G121" s="247"/>
    </row>
    <row r="122" spans="1:7" ht="114.75">
      <c r="A122" s="12" t="s">
        <v>264</v>
      </c>
      <c r="B122" s="248" t="s">
        <v>538</v>
      </c>
      <c r="C122" s="248" t="s">
        <v>104</v>
      </c>
      <c r="D122" s="252" t="s">
        <v>32</v>
      </c>
      <c r="E122" s="248"/>
      <c r="F122" s="250">
        <f aca="true" t="shared" si="11" ref="F122:G124">F123</f>
        <v>200272</v>
      </c>
      <c r="G122" s="250">
        <f t="shared" si="11"/>
        <v>0</v>
      </c>
    </row>
    <row r="123" spans="1:7" ht="79.5" customHeight="1">
      <c r="A123" s="29" t="s">
        <v>101</v>
      </c>
      <c r="B123" s="248" t="s">
        <v>538</v>
      </c>
      <c r="C123" s="248" t="s">
        <v>104</v>
      </c>
      <c r="D123" s="249" t="s">
        <v>453</v>
      </c>
      <c r="E123" s="248"/>
      <c r="F123" s="250">
        <f t="shared" si="11"/>
        <v>200272</v>
      </c>
      <c r="G123" s="250">
        <f t="shared" si="11"/>
        <v>0</v>
      </c>
    </row>
    <row r="124" spans="1:7" ht="63.75">
      <c r="A124" s="33" t="s">
        <v>634</v>
      </c>
      <c r="B124" s="248" t="s">
        <v>538</v>
      </c>
      <c r="C124" s="248" t="s">
        <v>104</v>
      </c>
      <c r="D124" s="249" t="s">
        <v>351</v>
      </c>
      <c r="E124" s="248"/>
      <c r="F124" s="250">
        <f t="shared" si="11"/>
        <v>200272</v>
      </c>
      <c r="G124" s="250">
        <f t="shared" si="11"/>
        <v>0</v>
      </c>
    </row>
    <row r="125" spans="1:7" ht="12.75">
      <c r="A125" s="13" t="s">
        <v>79</v>
      </c>
      <c r="B125" s="248" t="s">
        <v>538</v>
      </c>
      <c r="C125" s="248" t="s">
        <v>104</v>
      </c>
      <c r="D125" s="249" t="s">
        <v>351</v>
      </c>
      <c r="E125" s="248">
        <v>800</v>
      </c>
      <c r="F125" s="247">
        <v>200272</v>
      </c>
      <c r="G125" s="247"/>
    </row>
    <row r="126" spans="1:7" ht="25.5">
      <c r="A126" s="12" t="s">
        <v>556</v>
      </c>
      <c r="B126" s="268" t="s">
        <v>538</v>
      </c>
      <c r="C126" s="268">
        <v>12</v>
      </c>
      <c r="D126" s="252"/>
      <c r="E126" s="268"/>
      <c r="F126" s="250">
        <f>F127+F131</f>
        <v>1090523</v>
      </c>
      <c r="G126" s="250">
        <f>G127+G131</f>
        <v>206512</v>
      </c>
    </row>
    <row r="127" spans="1:7" ht="63.75">
      <c r="A127" s="266" t="s">
        <v>50</v>
      </c>
      <c r="B127" s="248" t="s">
        <v>538</v>
      </c>
      <c r="C127" s="248">
        <v>12</v>
      </c>
      <c r="D127" s="249" t="s">
        <v>635</v>
      </c>
      <c r="E127" s="248"/>
      <c r="F127" s="250">
        <f aca="true" t="shared" si="12" ref="F127:G129">F128</f>
        <v>20000</v>
      </c>
      <c r="G127" s="250">
        <f t="shared" si="12"/>
        <v>18774</v>
      </c>
    </row>
    <row r="128" spans="1:7" ht="36">
      <c r="A128" s="30" t="s">
        <v>638</v>
      </c>
      <c r="B128" s="248" t="s">
        <v>538</v>
      </c>
      <c r="C128" s="248">
        <v>12</v>
      </c>
      <c r="D128" s="249" t="s">
        <v>637</v>
      </c>
      <c r="E128" s="248"/>
      <c r="F128" s="250">
        <f t="shared" si="12"/>
        <v>20000</v>
      </c>
      <c r="G128" s="250">
        <f t="shared" si="12"/>
        <v>18774</v>
      </c>
    </row>
    <row r="129" spans="1:7" ht="42.75" customHeight="1">
      <c r="A129" s="30" t="s">
        <v>636</v>
      </c>
      <c r="B129" s="248" t="s">
        <v>538</v>
      </c>
      <c r="C129" s="248">
        <v>12</v>
      </c>
      <c r="D129" s="249" t="s">
        <v>100</v>
      </c>
      <c r="E129" s="248"/>
      <c r="F129" s="250">
        <f t="shared" si="12"/>
        <v>20000</v>
      </c>
      <c r="G129" s="250">
        <f t="shared" si="12"/>
        <v>18774</v>
      </c>
    </row>
    <row r="130" spans="1:7" ht="12.75">
      <c r="A130" s="246" t="s">
        <v>79</v>
      </c>
      <c r="B130" s="244" t="s">
        <v>538</v>
      </c>
      <c r="C130" s="244">
        <v>12</v>
      </c>
      <c r="D130" s="245" t="s">
        <v>100</v>
      </c>
      <c r="E130" s="244">
        <v>200</v>
      </c>
      <c r="F130" s="243">
        <v>20000</v>
      </c>
      <c r="G130" s="243">
        <v>18774</v>
      </c>
    </row>
    <row r="131" spans="1:7" ht="25.5">
      <c r="A131" s="121" t="s">
        <v>631</v>
      </c>
      <c r="B131" s="118" t="s">
        <v>538</v>
      </c>
      <c r="C131" s="118">
        <v>12</v>
      </c>
      <c r="D131" s="150" t="s">
        <v>14</v>
      </c>
      <c r="E131" s="118"/>
      <c r="F131" s="460">
        <f>F133+F135+F137</f>
        <v>1070523</v>
      </c>
      <c r="G131" s="460">
        <f>G133+G135+G137</f>
        <v>187738</v>
      </c>
    </row>
    <row r="132" spans="1:7" ht="24">
      <c r="A132" s="30" t="s">
        <v>641</v>
      </c>
      <c r="B132" s="248" t="s">
        <v>538</v>
      </c>
      <c r="C132" s="248">
        <v>12</v>
      </c>
      <c r="D132" s="249" t="s">
        <v>16</v>
      </c>
      <c r="E132" s="248"/>
      <c r="F132" s="250">
        <f>F133</f>
        <v>100000</v>
      </c>
      <c r="G132" s="250">
        <f>G133</f>
        <v>187738</v>
      </c>
    </row>
    <row r="133" spans="1:7" ht="36">
      <c r="A133" s="30" t="s">
        <v>98</v>
      </c>
      <c r="B133" s="248" t="s">
        <v>538</v>
      </c>
      <c r="C133" s="248">
        <v>12</v>
      </c>
      <c r="D133" s="249" t="s">
        <v>99</v>
      </c>
      <c r="E133" s="248"/>
      <c r="F133" s="250">
        <f>F134</f>
        <v>100000</v>
      </c>
      <c r="G133" s="250">
        <f>G134</f>
        <v>187738</v>
      </c>
    </row>
    <row r="134" spans="1:7" ht="36">
      <c r="A134" s="30" t="s">
        <v>232</v>
      </c>
      <c r="B134" s="248" t="s">
        <v>538</v>
      </c>
      <c r="C134" s="248">
        <v>12</v>
      </c>
      <c r="D134" s="249" t="s">
        <v>99</v>
      </c>
      <c r="E134" s="248">
        <v>200</v>
      </c>
      <c r="F134" s="250">
        <f>200000-100000</f>
        <v>100000</v>
      </c>
      <c r="G134" s="250">
        <v>187738</v>
      </c>
    </row>
    <row r="135" spans="1:8" ht="51">
      <c r="A135" s="492" t="s">
        <v>920</v>
      </c>
      <c r="B135" s="191" t="s">
        <v>538</v>
      </c>
      <c r="C135" s="191">
        <v>12</v>
      </c>
      <c r="D135" s="249" t="s">
        <v>921</v>
      </c>
      <c r="E135" s="248"/>
      <c r="F135" s="250">
        <f>F136</f>
        <v>291157</v>
      </c>
      <c r="G135" s="250">
        <f>G136</f>
        <v>0</v>
      </c>
      <c r="H135" s="436"/>
    </row>
    <row r="136" spans="1:7" ht="36">
      <c r="A136" s="427" t="s">
        <v>232</v>
      </c>
      <c r="B136" s="191" t="s">
        <v>538</v>
      </c>
      <c r="C136" s="191">
        <v>12</v>
      </c>
      <c r="D136" s="249" t="s">
        <v>921</v>
      </c>
      <c r="E136" s="248">
        <v>200</v>
      </c>
      <c r="F136" s="250">
        <v>291157</v>
      </c>
      <c r="G136" s="250"/>
    </row>
    <row r="137" spans="1:7" ht="51">
      <c r="A137" s="492" t="s">
        <v>920</v>
      </c>
      <c r="B137" s="191" t="s">
        <v>538</v>
      </c>
      <c r="C137" s="191">
        <v>12</v>
      </c>
      <c r="D137" s="249" t="s">
        <v>922</v>
      </c>
      <c r="E137" s="248"/>
      <c r="F137" s="250">
        <f>F138</f>
        <v>679366</v>
      </c>
      <c r="G137" s="250">
        <f>G138</f>
        <v>0</v>
      </c>
    </row>
    <row r="138" spans="1:7" ht="36">
      <c r="A138" s="427" t="s">
        <v>232</v>
      </c>
      <c r="B138" s="191" t="s">
        <v>538</v>
      </c>
      <c r="C138" s="191">
        <v>12</v>
      </c>
      <c r="D138" s="459" t="s">
        <v>922</v>
      </c>
      <c r="E138" s="172">
        <v>200</v>
      </c>
      <c r="F138" s="247">
        <v>679366</v>
      </c>
      <c r="G138" s="460"/>
    </row>
    <row r="139" spans="1:7" ht="12.75">
      <c r="A139" s="226" t="s">
        <v>543</v>
      </c>
      <c r="B139" s="224" t="s">
        <v>658</v>
      </c>
      <c r="C139" s="271" t="s">
        <v>466</v>
      </c>
      <c r="D139" s="224" t="s">
        <v>89</v>
      </c>
      <c r="E139" s="224" t="s">
        <v>89</v>
      </c>
      <c r="F139" s="223">
        <f>F140+F154</f>
        <v>8283809</v>
      </c>
      <c r="G139" s="223">
        <f>G140+G154</f>
        <v>4843734.84</v>
      </c>
    </row>
    <row r="140" spans="1:7" ht="12.75">
      <c r="A140" s="269" t="s">
        <v>239</v>
      </c>
      <c r="B140" s="268" t="s">
        <v>658</v>
      </c>
      <c r="C140" s="300" t="s">
        <v>535</v>
      </c>
      <c r="D140" s="299"/>
      <c r="E140" s="299"/>
      <c r="F140" s="250">
        <f>F141</f>
        <v>684000</v>
      </c>
      <c r="G140" s="250">
        <f>G141</f>
        <v>642063</v>
      </c>
    </row>
    <row r="141" spans="1:7" ht="76.5">
      <c r="A141" s="266" t="s">
        <v>483</v>
      </c>
      <c r="B141" s="248" t="s">
        <v>658</v>
      </c>
      <c r="C141" s="283" t="s">
        <v>535</v>
      </c>
      <c r="D141" s="249" t="s">
        <v>34</v>
      </c>
      <c r="E141" s="299"/>
      <c r="F141" s="250">
        <f>F142+F150</f>
        <v>684000</v>
      </c>
      <c r="G141" s="250">
        <f>G142+G150</f>
        <v>642063</v>
      </c>
    </row>
    <row r="142" spans="1:7" ht="114.75" hidden="1">
      <c r="A142" s="12" t="s">
        <v>219</v>
      </c>
      <c r="B142" s="248" t="s">
        <v>658</v>
      </c>
      <c r="C142" s="283" t="s">
        <v>535</v>
      </c>
      <c r="D142" s="249" t="s">
        <v>220</v>
      </c>
      <c r="E142" s="299"/>
      <c r="F142" s="250">
        <f>F143</f>
        <v>0</v>
      </c>
      <c r="G142" s="250">
        <f>G143</f>
        <v>0</v>
      </c>
    </row>
    <row r="143" spans="1:7" ht="38.25" hidden="1">
      <c r="A143" s="395" t="s">
        <v>754</v>
      </c>
      <c r="B143" s="248" t="s">
        <v>658</v>
      </c>
      <c r="C143" s="283" t="s">
        <v>535</v>
      </c>
      <c r="D143" s="249" t="s">
        <v>66</v>
      </c>
      <c r="E143" s="299"/>
      <c r="F143" s="250">
        <f>F144+F146+F148</f>
        <v>0</v>
      </c>
      <c r="G143" s="250">
        <f>G148</f>
        <v>0</v>
      </c>
    </row>
    <row r="144" spans="1:7" ht="63.75" hidden="1">
      <c r="A144" s="395" t="s">
        <v>94</v>
      </c>
      <c r="B144" s="248" t="s">
        <v>658</v>
      </c>
      <c r="C144" s="283" t="s">
        <v>535</v>
      </c>
      <c r="D144" s="249" t="s">
        <v>710</v>
      </c>
      <c r="E144" s="299"/>
      <c r="F144" s="250">
        <f>F145</f>
        <v>0</v>
      </c>
      <c r="G144" s="250"/>
    </row>
    <row r="145" spans="1:7" ht="38.25" hidden="1">
      <c r="A145" s="13" t="s">
        <v>225</v>
      </c>
      <c r="B145" s="248" t="s">
        <v>658</v>
      </c>
      <c r="C145" s="283" t="s">
        <v>535</v>
      </c>
      <c r="D145" s="249" t="s">
        <v>710</v>
      </c>
      <c r="E145" s="248">
        <v>400</v>
      </c>
      <c r="F145" s="250"/>
      <c r="G145" s="250"/>
    </row>
    <row r="146" spans="1:7" ht="51" hidden="1">
      <c r="A146" s="395" t="s">
        <v>95</v>
      </c>
      <c r="B146" s="248" t="s">
        <v>658</v>
      </c>
      <c r="C146" s="283" t="s">
        <v>535</v>
      </c>
      <c r="D146" s="249" t="s">
        <v>711</v>
      </c>
      <c r="E146" s="299"/>
      <c r="F146" s="250">
        <f>F147</f>
        <v>0</v>
      </c>
      <c r="G146" s="250"/>
    </row>
    <row r="147" spans="1:7" ht="38.25" hidden="1">
      <c r="A147" s="13" t="s">
        <v>225</v>
      </c>
      <c r="B147" s="248" t="s">
        <v>658</v>
      </c>
      <c r="C147" s="283" t="s">
        <v>535</v>
      </c>
      <c r="D147" s="249" t="s">
        <v>711</v>
      </c>
      <c r="E147" s="248">
        <v>400</v>
      </c>
      <c r="F147" s="250"/>
      <c r="G147" s="250"/>
    </row>
    <row r="148" spans="1:7" ht="115.5" customHeight="1" hidden="1">
      <c r="A148" s="396" t="s">
        <v>69</v>
      </c>
      <c r="B148" s="248" t="s">
        <v>658</v>
      </c>
      <c r="C148" s="283" t="s">
        <v>535</v>
      </c>
      <c r="D148" s="249" t="s">
        <v>296</v>
      </c>
      <c r="E148" s="299"/>
      <c r="F148" s="250">
        <f>F149</f>
        <v>0</v>
      </c>
      <c r="G148" s="250">
        <f>G149</f>
        <v>0</v>
      </c>
    </row>
    <row r="149" spans="1:7" ht="38.25" hidden="1">
      <c r="A149" s="13" t="s">
        <v>225</v>
      </c>
      <c r="B149" s="248" t="s">
        <v>658</v>
      </c>
      <c r="C149" s="283" t="s">
        <v>535</v>
      </c>
      <c r="D149" s="249" t="s">
        <v>296</v>
      </c>
      <c r="E149" s="248">
        <v>400</v>
      </c>
      <c r="F149" s="247"/>
      <c r="G149" s="247"/>
    </row>
    <row r="150" spans="1:7" ht="114.75">
      <c r="A150" s="12" t="s">
        <v>484</v>
      </c>
      <c r="B150" s="248" t="s">
        <v>658</v>
      </c>
      <c r="C150" s="283" t="s">
        <v>535</v>
      </c>
      <c r="D150" s="252" t="s">
        <v>561</v>
      </c>
      <c r="E150" s="299"/>
      <c r="F150" s="250">
        <f>F151</f>
        <v>684000</v>
      </c>
      <c r="G150" s="250">
        <f>G151</f>
        <v>642063</v>
      </c>
    </row>
    <row r="151" spans="1:7" ht="38.25">
      <c r="A151" s="28" t="s">
        <v>238</v>
      </c>
      <c r="B151" s="248" t="s">
        <v>658</v>
      </c>
      <c r="C151" s="283" t="s">
        <v>535</v>
      </c>
      <c r="D151" s="249" t="s">
        <v>271</v>
      </c>
      <c r="E151" s="299"/>
      <c r="F151" s="250">
        <f>F152</f>
        <v>684000</v>
      </c>
      <c r="G151" s="250">
        <f>G152</f>
        <v>642063</v>
      </c>
    </row>
    <row r="152" spans="1:7" ht="24">
      <c r="A152" s="30" t="s">
        <v>270</v>
      </c>
      <c r="B152" s="248" t="s">
        <v>658</v>
      </c>
      <c r="C152" s="283" t="s">
        <v>535</v>
      </c>
      <c r="D152" s="249" t="s">
        <v>269</v>
      </c>
      <c r="E152" s="299"/>
      <c r="F152" s="250">
        <f>SUM(F153:F153)</f>
        <v>684000</v>
      </c>
      <c r="G152" s="250">
        <f>SUM(G153:G153)</f>
        <v>642063</v>
      </c>
    </row>
    <row r="153" spans="1:7" ht="38.25">
      <c r="A153" s="13" t="s">
        <v>232</v>
      </c>
      <c r="B153" s="248" t="s">
        <v>658</v>
      </c>
      <c r="C153" s="283" t="s">
        <v>535</v>
      </c>
      <c r="D153" s="249" t="s">
        <v>269</v>
      </c>
      <c r="E153" s="248">
        <v>200</v>
      </c>
      <c r="F153" s="247">
        <v>684000</v>
      </c>
      <c r="G153" s="247">
        <v>642063</v>
      </c>
    </row>
    <row r="154" spans="1:7" ht="12.75">
      <c r="A154" s="269" t="s">
        <v>565</v>
      </c>
      <c r="B154" s="268" t="s">
        <v>658</v>
      </c>
      <c r="C154" s="268" t="s">
        <v>103</v>
      </c>
      <c r="D154" s="268" t="s">
        <v>89</v>
      </c>
      <c r="E154" s="268" t="s">
        <v>89</v>
      </c>
      <c r="F154" s="250">
        <f>F155+F161</f>
        <v>7599809</v>
      </c>
      <c r="G154" s="250">
        <f>G155+G161</f>
        <v>4201671.84</v>
      </c>
    </row>
    <row r="155" spans="1:7" ht="76.5">
      <c r="A155" s="266" t="s">
        <v>483</v>
      </c>
      <c r="B155" s="248" t="s">
        <v>658</v>
      </c>
      <c r="C155" s="248" t="s">
        <v>103</v>
      </c>
      <c r="D155" s="249" t="s">
        <v>34</v>
      </c>
      <c r="E155" s="248" t="s">
        <v>89</v>
      </c>
      <c r="F155" s="250">
        <f aca="true" t="shared" si="13" ref="F155:G157">F156</f>
        <v>7099809</v>
      </c>
      <c r="G155" s="250">
        <f t="shared" si="13"/>
        <v>3701671.84</v>
      </c>
    </row>
    <row r="156" spans="1:7" ht="114.75">
      <c r="A156" s="12" t="s">
        <v>484</v>
      </c>
      <c r="B156" s="248" t="s">
        <v>658</v>
      </c>
      <c r="C156" s="248" t="s">
        <v>103</v>
      </c>
      <c r="D156" s="252" t="s">
        <v>561</v>
      </c>
      <c r="E156" s="251" t="s">
        <v>89</v>
      </c>
      <c r="F156" s="250">
        <f t="shared" si="13"/>
        <v>7099809</v>
      </c>
      <c r="G156" s="250">
        <f t="shared" si="13"/>
        <v>3701671.84</v>
      </c>
    </row>
    <row r="157" spans="1:7" ht="38.25">
      <c r="A157" s="28" t="s">
        <v>357</v>
      </c>
      <c r="B157" s="248" t="s">
        <v>658</v>
      </c>
      <c r="C157" s="248" t="s">
        <v>103</v>
      </c>
      <c r="D157" s="249" t="s">
        <v>458</v>
      </c>
      <c r="E157" s="251"/>
      <c r="F157" s="250">
        <f t="shared" si="13"/>
        <v>7099809</v>
      </c>
      <c r="G157" s="250">
        <f t="shared" si="13"/>
        <v>3701671.84</v>
      </c>
    </row>
    <row r="158" spans="1:7" ht="12.75">
      <c r="A158" s="33" t="s">
        <v>737</v>
      </c>
      <c r="B158" s="248" t="s">
        <v>658</v>
      </c>
      <c r="C158" s="248" t="s">
        <v>103</v>
      </c>
      <c r="D158" s="249" t="s">
        <v>459</v>
      </c>
      <c r="E158" s="248" t="s">
        <v>89</v>
      </c>
      <c r="F158" s="250">
        <f>SUM(F159:F160)</f>
        <v>7099809</v>
      </c>
      <c r="G158" s="250">
        <f>SUM(G159:G160)</f>
        <v>3701671.84</v>
      </c>
    </row>
    <row r="159" spans="1:7" ht="38.25">
      <c r="A159" s="13" t="s">
        <v>232</v>
      </c>
      <c r="B159" s="248" t="s">
        <v>658</v>
      </c>
      <c r="C159" s="248" t="s">
        <v>103</v>
      </c>
      <c r="D159" s="249" t="s">
        <v>459</v>
      </c>
      <c r="E159" s="248">
        <v>200</v>
      </c>
      <c r="F159" s="247">
        <v>2467763</v>
      </c>
      <c r="G159" s="247">
        <v>2316462</v>
      </c>
    </row>
    <row r="160" spans="1:7" ht="12.75">
      <c r="A160" s="13" t="s">
        <v>79</v>
      </c>
      <c r="B160" s="248" t="s">
        <v>658</v>
      </c>
      <c r="C160" s="248" t="s">
        <v>103</v>
      </c>
      <c r="D160" s="249" t="s">
        <v>459</v>
      </c>
      <c r="E160" s="248">
        <v>800</v>
      </c>
      <c r="F160" s="247">
        <v>4632046</v>
      </c>
      <c r="G160" s="247">
        <v>1385209.84</v>
      </c>
    </row>
    <row r="161" spans="1:7" ht="63.75">
      <c r="A161" s="266" t="s">
        <v>479</v>
      </c>
      <c r="B161" s="248" t="s">
        <v>658</v>
      </c>
      <c r="C161" s="248" t="s">
        <v>103</v>
      </c>
      <c r="D161" s="249" t="s">
        <v>643</v>
      </c>
      <c r="E161" s="248"/>
      <c r="F161" s="250">
        <f aca="true" t="shared" si="14" ref="F161:G163">F162</f>
        <v>500000</v>
      </c>
      <c r="G161" s="250">
        <f t="shared" si="14"/>
        <v>500000</v>
      </c>
    </row>
    <row r="162" spans="1:7" ht="27.75" customHeight="1">
      <c r="A162" s="28" t="s">
        <v>714</v>
      </c>
      <c r="B162" s="248" t="s">
        <v>658</v>
      </c>
      <c r="C162" s="248" t="s">
        <v>103</v>
      </c>
      <c r="D162" s="249" t="s">
        <v>340</v>
      </c>
      <c r="E162" s="248"/>
      <c r="F162" s="250">
        <f t="shared" si="14"/>
        <v>500000</v>
      </c>
      <c r="G162" s="250">
        <f t="shared" si="14"/>
        <v>500000</v>
      </c>
    </row>
    <row r="163" spans="1:7" ht="25.5">
      <c r="A163" s="397" t="s">
        <v>342</v>
      </c>
      <c r="B163" s="248" t="s">
        <v>658</v>
      </c>
      <c r="C163" s="248" t="s">
        <v>103</v>
      </c>
      <c r="D163" s="249" t="s">
        <v>341</v>
      </c>
      <c r="E163" s="248"/>
      <c r="F163" s="250">
        <f t="shared" si="14"/>
        <v>500000</v>
      </c>
      <c r="G163" s="250">
        <f t="shared" si="14"/>
        <v>500000</v>
      </c>
    </row>
    <row r="164" spans="1:7" ht="38.25">
      <c r="A164" s="246" t="s">
        <v>232</v>
      </c>
      <c r="B164" s="244" t="s">
        <v>658</v>
      </c>
      <c r="C164" s="244" t="s">
        <v>103</v>
      </c>
      <c r="D164" s="245" t="s">
        <v>341</v>
      </c>
      <c r="E164" s="244">
        <v>200</v>
      </c>
      <c r="F164" s="243">
        <v>500000</v>
      </c>
      <c r="G164" s="243">
        <v>500000</v>
      </c>
    </row>
    <row r="165" spans="1:7" ht="12.75">
      <c r="A165" s="226" t="s">
        <v>566</v>
      </c>
      <c r="B165" s="224" t="s">
        <v>659</v>
      </c>
      <c r="C165" s="271" t="s">
        <v>466</v>
      </c>
      <c r="D165" s="224" t="s">
        <v>89</v>
      </c>
      <c r="E165" s="224" t="s">
        <v>89</v>
      </c>
      <c r="F165" s="223">
        <f>F166+F177+F204+F210+F223</f>
        <v>245921225</v>
      </c>
      <c r="G165" s="223">
        <f>G166+G177+G204+G210+G223</f>
        <v>242378042</v>
      </c>
    </row>
    <row r="166" spans="1:7" ht="12.75">
      <c r="A166" s="269" t="s">
        <v>567</v>
      </c>
      <c r="B166" s="268" t="s">
        <v>659</v>
      </c>
      <c r="C166" s="268" t="s">
        <v>535</v>
      </c>
      <c r="D166" s="268" t="s">
        <v>89</v>
      </c>
      <c r="E166" s="268" t="s">
        <v>89</v>
      </c>
      <c r="F166" s="250">
        <f aca="true" t="shared" si="15" ref="F166:G168">F167</f>
        <v>92601566</v>
      </c>
      <c r="G166" s="250">
        <f t="shared" si="15"/>
        <v>90778726</v>
      </c>
    </row>
    <row r="167" spans="1:7" ht="51">
      <c r="A167" s="266" t="s">
        <v>281</v>
      </c>
      <c r="B167" s="248" t="s">
        <v>659</v>
      </c>
      <c r="C167" s="248" t="s">
        <v>535</v>
      </c>
      <c r="D167" s="249" t="s">
        <v>562</v>
      </c>
      <c r="E167" s="248" t="s">
        <v>89</v>
      </c>
      <c r="F167" s="250">
        <f t="shared" si="15"/>
        <v>92601566</v>
      </c>
      <c r="G167" s="250">
        <f t="shared" si="15"/>
        <v>90778726</v>
      </c>
    </row>
    <row r="168" spans="1:7" ht="63.75">
      <c r="A168" s="12" t="s">
        <v>282</v>
      </c>
      <c r="B168" s="248" t="s">
        <v>659</v>
      </c>
      <c r="C168" s="248" t="s">
        <v>535</v>
      </c>
      <c r="D168" s="252" t="s">
        <v>563</v>
      </c>
      <c r="E168" s="251" t="s">
        <v>89</v>
      </c>
      <c r="F168" s="250">
        <f t="shared" si="15"/>
        <v>92601566</v>
      </c>
      <c r="G168" s="250">
        <f t="shared" si="15"/>
        <v>90778726</v>
      </c>
    </row>
    <row r="169" spans="1:7" ht="38.25">
      <c r="A169" s="28" t="s">
        <v>460</v>
      </c>
      <c r="B169" s="248" t="s">
        <v>659</v>
      </c>
      <c r="C169" s="248" t="s">
        <v>535</v>
      </c>
      <c r="D169" s="249" t="s">
        <v>564</v>
      </c>
      <c r="E169" s="251"/>
      <c r="F169" s="250">
        <f>F170+F173</f>
        <v>92601566</v>
      </c>
      <c r="G169" s="250">
        <f>G170+G173</f>
        <v>90778726</v>
      </c>
    </row>
    <row r="170" spans="1:7" ht="144" customHeight="1">
      <c r="A170" s="13" t="s">
        <v>302</v>
      </c>
      <c r="B170" s="248" t="s">
        <v>659</v>
      </c>
      <c r="C170" s="248" t="s">
        <v>535</v>
      </c>
      <c r="D170" s="249" t="s">
        <v>303</v>
      </c>
      <c r="E170" s="248" t="s">
        <v>89</v>
      </c>
      <c r="F170" s="250">
        <f>SUM(F171:F172)</f>
        <v>55488082</v>
      </c>
      <c r="G170" s="250">
        <f>SUM(G171:G172)</f>
        <v>55488082</v>
      </c>
    </row>
    <row r="171" spans="1:7" ht="92.25" customHeight="1">
      <c r="A171" s="13" t="s">
        <v>740</v>
      </c>
      <c r="B171" s="248" t="s">
        <v>659</v>
      </c>
      <c r="C171" s="248" t="s">
        <v>535</v>
      </c>
      <c r="D171" s="249" t="s">
        <v>303</v>
      </c>
      <c r="E171" s="248" t="s">
        <v>597</v>
      </c>
      <c r="F171" s="247">
        <v>55063202</v>
      </c>
      <c r="G171" s="247">
        <v>55063202</v>
      </c>
    </row>
    <row r="172" spans="1:7" ht="38.25">
      <c r="A172" s="13" t="s">
        <v>232</v>
      </c>
      <c r="B172" s="248" t="s">
        <v>659</v>
      </c>
      <c r="C172" s="248" t="s">
        <v>535</v>
      </c>
      <c r="D172" s="249" t="s">
        <v>303</v>
      </c>
      <c r="E172" s="248" t="s">
        <v>76</v>
      </c>
      <c r="F172" s="247">
        <v>424880</v>
      </c>
      <c r="G172" s="247">
        <v>424880</v>
      </c>
    </row>
    <row r="173" spans="1:7" ht="38.25">
      <c r="A173" s="251" t="s">
        <v>498</v>
      </c>
      <c r="B173" s="248" t="s">
        <v>659</v>
      </c>
      <c r="C173" s="248" t="s">
        <v>535</v>
      </c>
      <c r="D173" s="249" t="s">
        <v>304</v>
      </c>
      <c r="E173" s="248"/>
      <c r="F173" s="250">
        <f>SUM(F174:F176)</f>
        <v>37113484</v>
      </c>
      <c r="G173" s="250">
        <f>SUM(G174:G176)</f>
        <v>35290644</v>
      </c>
    </row>
    <row r="174" spans="1:7" ht="98.25" customHeight="1">
      <c r="A174" s="13" t="s">
        <v>740</v>
      </c>
      <c r="B174" s="248" t="s">
        <v>659</v>
      </c>
      <c r="C174" s="248" t="s">
        <v>535</v>
      </c>
      <c r="D174" s="249" t="s">
        <v>304</v>
      </c>
      <c r="E174" s="248">
        <v>100</v>
      </c>
      <c r="F174" s="247">
        <v>18466929</v>
      </c>
      <c r="G174" s="247">
        <v>17334708</v>
      </c>
    </row>
    <row r="175" spans="1:7" ht="38.25">
      <c r="A175" s="13" t="s">
        <v>232</v>
      </c>
      <c r="B175" s="248" t="s">
        <v>659</v>
      </c>
      <c r="C175" s="248" t="s">
        <v>535</v>
      </c>
      <c r="D175" s="249" t="s">
        <v>304</v>
      </c>
      <c r="E175" s="248">
        <v>200</v>
      </c>
      <c r="F175" s="247">
        <f>180000+150000+5087878+200000+196000+60648+2195748+914146+7382304</f>
        <v>16366724</v>
      </c>
      <c r="G175" s="247">
        <v>15815883</v>
      </c>
    </row>
    <row r="176" spans="1:7" ht="12.75">
      <c r="A176" s="13" t="s">
        <v>79</v>
      </c>
      <c r="B176" s="248" t="s">
        <v>659</v>
      </c>
      <c r="C176" s="248" t="s">
        <v>535</v>
      </c>
      <c r="D176" s="249" t="s">
        <v>304</v>
      </c>
      <c r="E176" s="248">
        <v>800</v>
      </c>
      <c r="F176" s="247">
        <v>2279831</v>
      </c>
      <c r="G176" s="247">
        <v>2140053</v>
      </c>
    </row>
    <row r="177" spans="1:7" ht="12.75">
      <c r="A177" s="269" t="s">
        <v>568</v>
      </c>
      <c r="B177" s="268" t="s">
        <v>659</v>
      </c>
      <c r="C177" s="268" t="s">
        <v>537</v>
      </c>
      <c r="D177" s="268" t="s">
        <v>89</v>
      </c>
      <c r="E177" s="268" t="s">
        <v>89</v>
      </c>
      <c r="F177" s="250">
        <f>F178</f>
        <v>124272886</v>
      </c>
      <c r="G177" s="250">
        <f>G178</f>
        <v>124223672</v>
      </c>
    </row>
    <row r="178" spans="1:7" ht="51">
      <c r="A178" s="266" t="s">
        <v>283</v>
      </c>
      <c r="B178" s="248" t="s">
        <v>659</v>
      </c>
      <c r="C178" s="248" t="s">
        <v>537</v>
      </c>
      <c r="D178" s="249" t="s">
        <v>562</v>
      </c>
      <c r="E178" s="248" t="s">
        <v>89</v>
      </c>
      <c r="F178" s="250">
        <f>F179</f>
        <v>124272886</v>
      </c>
      <c r="G178" s="250">
        <f>G179</f>
        <v>124223672</v>
      </c>
    </row>
    <row r="179" spans="1:7" ht="63.75">
      <c r="A179" s="12" t="s">
        <v>282</v>
      </c>
      <c r="B179" s="248" t="s">
        <v>659</v>
      </c>
      <c r="C179" s="248" t="s">
        <v>537</v>
      </c>
      <c r="D179" s="249" t="s">
        <v>563</v>
      </c>
      <c r="E179" s="251" t="s">
        <v>89</v>
      </c>
      <c r="F179" s="250">
        <f>F180+F185+F196+F199</f>
        <v>124272886</v>
      </c>
      <c r="G179" s="250">
        <f>G180+G185+G196+G199</f>
        <v>124223672</v>
      </c>
    </row>
    <row r="180" spans="1:7" ht="38.25">
      <c r="A180" s="28" t="s">
        <v>462</v>
      </c>
      <c r="B180" s="248" t="s">
        <v>659</v>
      </c>
      <c r="C180" s="248" t="s">
        <v>537</v>
      </c>
      <c r="D180" s="249" t="s">
        <v>305</v>
      </c>
      <c r="E180" s="251"/>
      <c r="F180" s="250">
        <f>F181+F183</f>
        <v>108742302</v>
      </c>
      <c r="G180" s="250">
        <f>G181+G183</f>
        <v>107977893</v>
      </c>
    </row>
    <row r="181" spans="1:7" ht="141.75" customHeight="1">
      <c r="A181" s="13" t="s">
        <v>686</v>
      </c>
      <c r="B181" s="248" t="s">
        <v>659</v>
      </c>
      <c r="C181" s="248" t="s">
        <v>537</v>
      </c>
      <c r="D181" s="249" t="s">
        <v>306</v>
      </c>
      <c r="E181" s="248" t="s">
        <v>89</v>
      </c>
      <c r="F181" s="250">
        <f>F182</f>
        <v>96274514</v>
      </c>
      <c r="G181" s="250">
        <f>G182</f>
        <v>96274514</v>
      </c>
    </row>
    <row r="182" spans="1:7" ht="39" customHeight="1">
      <c r="A182" s="13" t="s">
        <v>92</v>
      </c>
      <c r="B182" s="248" t="s">
        <v>659</v>
      </c>
      <c r="C182" s="248" t="s">
        <v>537</v>
      </c>
      <c r="D182" s="249" t="s">
        <v>306</v>
      </c>
      <c r="E182" s="248">
        <v>600</v>
      </c>
      <c r="F182" s="247">
        <v>96274514</v>
      </c>
      <c r="G182" s="247">
        <v>96274514</v>
      </c>
    </row>
    <row r="183" spans="1:7" ht="41.25" customHeight="1">
      <c r="A183" s="251" t="s">
        <v>498</v>
      </c>
      <c r="B183" s="248" t="s">
        <v>659</v>
      </c>
      <c r="C183" s="248" t="s">
        <v>537</v>
      </c>
      <c r="D183" s="249" t="s">
        <v>307</v>
      </c>
      <c r="E183" s="248"/>
      <c r="F183" s="250">
        <f>F184</f>
        <v>12467788</v>
      </c>
      <c r="G183" s="250">
        <f>G184</f>
        <v>11703379</v>
      </c>
    </row>
    <row r="184" spans="1:7" ht="44.25" customHeight="1">
      <c r="A184" s="13" t="s">
        <v>92</v>
      </c>
      <c r="B184" s="248" t="s">
        <v>659</v>
      </c>
      <c r="C184" s="248" t="s">
        <v>537</v>
      </c>
      <c r="D184" s="249" t="s">
        <v>307</v>
      </c>
      <c r="E184" s="248">
        <v>600</v>
      </c>
      <c r="F184" s="247">
        <v>12467788</v>
      </c>
      <c r="G184" s="247">
        <v>11703379</v>
      </c>
    </row>
    <row r="185" spans="1:7" ht="25.5">
      <c r="A185" s="28" t="s">
        <v>463</v>
      </c>
      <c r="B185" s="248" t="s">
        <v>659</v>
      </c>
      <c r="C185" s="248" t="s">
        <v>537</v>
      </c>
      <c r="D185" s="249" t="s">
        <v>308</v>
      </c>
      <c r="E185" s="248"/>
      <c r="F185" s="247">
        <f>F186+F188+F190+F194+F192</f>
        <v>15530584</v>
      </c>
      <c r="G185" s="247">
        <f>G186+G188+G190+G194+G192</f>
        <v>16245779</v>
      </c>
    </row>
    <row r="186" spans="1:7" ht="66.75" customHeight="1">
      <c r="A186" s="28" t="s">
        <v>400</v>
      </c>
      <c r="B186" s="248" t="s">
        <v>659</v>
      </c>
      <c r="C186" s="248" t="s">
        <v>537</v>
      </c>
      <c r="D186" s="249" t="s">
        <v>401</v>
      </c>
      <c r="E186" s="248"/>
      <c r="F186" s="247">
        <f>+F187</f>
        <v>6093224</v>
      </c>
      <c r="G186" s="247">
        <f>+G187</f>
        <v>6274579</v>
      </c>
    </row>
    <row r="187" spans="1:7" ht="39" customHeight="1">
      <c r="A187" s="13" t="s">
        <v>92</v>
      </c>
      <c r="B187" s="248" t="s">
        <v>659</v>
      </c>
      <c r="C187" s="248" t="s">
        <v>537</v>
      </c>
      <c r="D187" s="249" t="s">
        <v>401</v>
      </c>
      <c r="E187" s="248">
        <v>600</v>
      </c>
      <c r="F187" s="247">
        <f>752478+5340746</f>
        <v>6093224</v>
      </c>
      <c r="G187" s="247">
        <f>772632+5501947</f>
        <v>6274579</v>
      </c>
    </row>
    <row r="188" spans="1:7" ht="102">
      <c r="A188" s="396" t="s">
        <v>751</v>
      </c>
      <c r="B188" s="248" t="s">
        <v>659</v>
      </c>
      <c r="C188" s="248" t="s">
        <v>537</v>
      </c>
      <c r="D188" s="249" t="s">
        <v>752</v>
      </c>
      <c r="E188" s="248"/>
      <c r="F188" s="250">
        <f>F189</f>
        <v>318065</v>
      </c>
      <c r="G188" s="250">
        <f>G189</f>
        <v>318065</v>
      </c>
    </row>
    <row r="189" spans="1:7" ht="42" customHeight="1">
      <c r="A189" s="13" t="s">
        <v>92</v>
      </c>
      <c r="B189" s="248" t="s">
        <v>659</v>
      </c>
      <c r="C189" s="248" t="s">
        <v>537</v>
      </c>
      <c r="D189" s="249" t="s">
        <v>752</v>
      </c>
      <c r="E189" s="248">
        <v>600</v>
      </c>
      <c r="F189" s="247">
        <v>318065</v>
      </c>
      <c r="G189" s="247">
        <v>318065</v>
      </c>
    </row>
    <row r="190" spans="1:7" ht="89.25">
      <c r="A190" s="74" t="s">
        <v>299</v>
      </c>
      <c r="B190" s="248" t="s">
        <v>659</v>
      </c>
      <c r="C190" s="248" t="s">
        <v>537</v>
      </c>
      <c r="D190" s="249" t="s">
        <v>309</v>
      </c>
      <c r="E190" s="248"/>
      <c r="F190" s="250">
        <f>F191</f>
        <v>2127215</v>
      </c>
      <c r="G190" s="250">
        <f>G191</f>
        <v>2127215</v>
      </c>
    </row>
    <row r="191" spans="1:7" ht="42.75" customHeight="1">
      <c r="A191" s="13" t="s">
        <v>92</v>
      </c>
      <c r="B191" s="248" t="s">
        <v>659</v>
      </c>
      <c r="C191" s="248" t="s">
        <v>537</v>
      </c>
      <c r="D191" s="249" t="s">
        <v>309</v>
      </c>
      <c r="E191" s="248">
        <v>600</v>
      </c>
      <c r="F191" s="247">
        <v>2127215</v>
      </c>
      <c r="G191" s="247">
        <v>2127215</v>
      </c>
    </row>
    <row r="192" spans="1:7" ht="41.25" customHeight="1">
      <c r="A192" s="193" t="s">
        <v>498</v>
      </c>
      <c r="B192" s="191" t="s">
        <v>659</v>
      </c>
      <c r="C192" s="191" t="s">
        <v>537</v>
      </c>
      <c r="D192" s="192" t="s">
        <v>399</v>
      </c>
      <c r="E192" s="191"/>
      <c r="F192" s="247">
        <f>F193</f>
        <v>430000</v>
      </c>
      <c r="G192" s="247">
        <f>G193</f>
        <v>963840</v>
      </c>
    </row>
    <row r="193" spans="1:7" ht="43.5" customHeight="1">
      <c r="A193" s="203" t="s">
        <v>92</v>
      </c>
      <c r="B193" s="191" t="s">
        <v>659</v>
      </c>
      <c r="C193" s="191" t="s">
        <v>537</v>
      </c>
      <c r="D193" s="192" t="s">
        <v>399</v>
      </c>
      <c r="E193" s="191">
        <v>600</v>
      </c>
      <c r="F193" s="247">
        <v>430000</v>
      </c>
      <c r="G193" s="247">
        <v>963840</v>
      </c>
    </row>
    <row r="194" spans="1:7" ht="65.25" customHeight="1">
      <c r="A194" s="13" t="s">
        <v>513</v>
      </c>
      <c r="B194" s="248" t="s">
        <v>659</v>
      </c>
      <c r="C194" s="248" t="s">
        <v>537</v>
      </c>
      <c r="D194" s="249" t="s">
        <v>514</v>
      </c>
      <c r="E194" s="248"/>
      <c r="F194" s="247">
        <f>F195</f>
        <v>6562080</v>
      </c>
      <c r="G194" s="247">
        <f>G195</f>
        <v>6562080</v>
      </c>
    </row>
    <row r="195" spans="1:7" ht="41.25" customHeight="1">
      <c r="A195" s="13" t="s">
        <v>92</v>
      </c>
      <c r="B195" s="248" t="s">
        <v>659</v>
      </c>
      <c r="C195" s="248" t="s">
        <v>537</v>
      </c>
      <c r="D195" s="249" t="s">
        <v>514</v>
      </c>
      <c r="E195" s="248">
        <v>600</v>
      </c>
      <c r="F195" s="247">
        <v>6562080</v>
      </c>
      <c r="G195" s="247">
        <v>6562080</v>
      </c>
    </row>
    <row r="196" spans="1:7" ht="25.5" hidden="1">
      <c r="A196" s="395" t="s">
        <v>755</v>
      </c>
      <c r="B196" s="248" t="s">
        <v>659</v>
      </c>
      <c r="C196" s="248" t="s">
        <v>537</v>
      </c>
      <c r="D196" s="249" t="s">
        <v>335</v>
      </c>
      <c r="E196" s="248"/>
      <c r="F196" s="250">
        <f>F197</f>
        <v>0</v>
      </c>
      <c r="G196" s="250">
        <f>G197</f>
        <v>0</v>
      </c>
    </row>
    <row r="197" spans="1:7" ht="89.25" hidden="1">
      <c r="A197" s="395" t="s">
        <v>156</v>
      </c>
      <c r="B197" s="248" t="s">
        <v>659</v>
      </c>
      <c r="C197" s="248" t="s">
        <v>537</v>
      </c>
      <c r="D197" s="249" t="s">
        <v>336</v>
      </c>
      <c r="E197" s="248"/>
      <c r="F197" s="250">
        <f>F198</f>
        <v>0</v>
      </c>
      <c r="G197" s="250">
        <f>G198</f>
        <v>0</v>
      </c>
    </row>
    <row r="198" spans="1:7" ht="38.25" hidden="1">
      <c r="A198" s="395" t="s">
        <v>92</v>
      </c>
      <c r="B198" s="248" t="s">
        <v>659</v>
      </c>
      <c r="C198" s="248" t="s">
        <v>537</v>
      </c>
      <c r="D198" s="249" t="s">
        <v>336</v>
      </c>
      <c r="E198" s="248">
        <v>600</v>
      </c>
      <c r="F198" s="247"/>
      <c r="G198" s="247"/>
    </row>
    <row r="199" spans="1:7" ht="25.5" hidden="1">
      <c r="A199" s="395" t="s">
        <v>110</v>
      </c>
      <c r="B199" s="248" t="s">
        <v>659</v>
      </c>
      <c r="C199" s="248" t="s">
        <v>537</v>
      </c>
      <c r="D199" s="249" t="s">
        <v>64</v>
      </c>
      <c r="E199" s="248"/>
      <c r="F199" s="250">
        <f>F200+F202</f>
        <v>0</v>
      </c>
      <c r="G199" s="250">
        <f>G200</f>
        <v>0</v>
      </c>
    </row>
    <row r="200" spans="1:7" ht="51" hidden="1">
      <c r="A200" s="395" t="s">
        <v>157</v>
      </c>
      <c r="B200" s="248" t="s">
        <v>659</v>
      </c>
      <c r="C200" s="248" t="s">
        <v>537</v>
      </c>
      <c r="D200" s="249" t="s">
        <v>65</v>
      </c>
      <c r="E200" s="248"/>
      <c r="F200" s="250">
        <f>F201</f>
        <v>0</v>
      </c>
      <c r="G200" s="250">
        <f>G201</f>
        <v>0</v>
      </c>
    </row>
    <row r="201" spans="1:7" ht="54.75" customHeight="1" hidden="1">
      <c r="A201" s="13" t="s">
        <v>92</v>
      </c>
      <c r="B201" s="248" t="s">
        <v>659</v>
      </c>
      <c r="C201" s="248" t="s">
        <v>537</v>
      </c>
      <c r="D201" s="249" t="s">
        <v>65</v>
      </c>
      <c r="E201" s="248">
        <v>600</v>
      </c>
      <c r="F201" s="247"/>
      <c r="G201" s="247"/>
    </row>
    <row r="202" spans="1:7" ht="80.25" customHeight="1" hidden="1">
      <c r="A202" s="395" t="s">
        <v>63</v>
      </c>
      <c r="B202" s="248" t="s">
        <v>659</v>
      </c>
      <c r="C202" s="248" t="s">
        <v>537</v>
      </c>
      <c r="D202" s="249" t="s">
        <v>358</v>
      </c>
      <c r="E202" s="248"/>
      <c r="F202" s="247">
        <f>F203</f>
        <v>0</v>
      </c>
      <c r="G202" s="247"/>
    </row>
    <row r="203" spans="1:7" ht="52.5" customHeight="1" hidden="1">
      <c r="A203" s="13" t="s">
        <v>92</v>
      </c>
      <c r="B203" s="248" t="s">
        <v>659</v>
      </c>
      <c r="C203" s="248" t="s">
        <v>537</v>
      </c>
      <c r="D203" s="249" t="s">
        <v>358</v>
      </c>
      <c r="E203" s="248">
        <v>600</v>
      </c>
      <c r="F203" s="247"/>
      <c r="G203" s="247"/>
    </row>
    <row r="204" spans="1:7" ht="12.75">
      <c r="A204" s="12" t="s">
        <v>43</v>
      </c>
      <c r="B204" s="248" t="s">
        <v>659</v>
      </c>
      <c r="C204" s="283" t="s">
        <v>103</v>
      </c>
      <c r="D204" s="249"/>
      <c r="E204" s="248"/>
      <c r="F204" s="250">
        <f aca="true" t="shared" si="16" ref="F204:G208">F205</f>
        <v>17773514</v>
      </c>
      <c r="G204" s="250">
        <f t="shared" si="16"/>
        <v>16683807</v>
      </c>
    </row>
    <row r="205" spans="1:7" ht="51">
      <c r="A205" s="266" t="s">
        <v>281</v>
      </c>
      <c r="B205" s="248" t="s">
        <v>659</v>
      </c>
      <c r="C205" s="283" t="s">
        <v>103</v>
      </c>
      <c r="D205" s="249" t="s">
        <v>562</v>
      </c>
      <c r="E205" s="248"/>
      <c r="F205" s="250">
        <f t="shared" si="16"/>
        <v>17773514</v>
      </c>
      <c r="G205" s="250">
        <f t="shared" si="16"/>
        <v>16683807</v>
      </c>
    </row>
    <row r="206" spans="1:7" ht="76.5">
      <c r="A206" s="12" t="s">
        <v>712</v>
      </c>
      <c r="B206" s="248" t="s">
        <v>659</v>
      </c>
      <c r="C206" s="283" t="s">
        <v>103</v>
      </c>
      <c r="D206" s="252" t="s">
        <v>310</v>
      </c>
      <c r="E206" s="251" t="s">
        <v>89</v>
      </c>
      <c r="F206" s="250">
        <f t="shared" si="16"/>
        <v>17773514</v>
      </c>
      <c r="G206" s="250">
        <f t="shared" si="16"/>
        <v>16683807</v>
      </c>
    </row>
    <row r="207" spans="1:7" ht="51">
      <c r="A207" s="28" t="s">
        <v>464</v>
      </c>
      <c r="B207" s="248" t="s">
        <v>659</v>
      </c>
      <c r="C207" s="283" t="s">
        <v>103</v>
      </c>
      <c r="D207" s="249" t="s">
        <v>311</v>
      </c>
      <c r="E207" s="251"/>
      <c r="F207" s="250">
        <f t="shared" si="16"/>
        <v>17773514</v>
      </c>
      <c r="G207" s="250">
        <f t="shared" si="16"/>
        <v>16683807</v>
      </c>
    </row>
    <row r="208" spans="1:7" ht="38.25">
      <c r="A208" s="251" t="s">
        <v>498</v>
      </c>
      <c r="B208" s="248" t="s">
        <v>659</v>
      </c>
      <c r="C208" s="283" t="s">
        <v>103</v>
      </c>
      <c r="D208" s="249" t="s">
        <v>312</v>
      </c>
      <c r="E208" s="248" t="s">
        <v>89</v>
      </c>
      <c r="F208" s="250">
        <f t="shared" si="16"/>
        <v>17773514</v>
      </c>
      <c r="G208" s="250">
        <f t="shared" si="16"/>
        <v>16683807</v>
      </c>
    </row>
    <row r="209" spans="1:7" ht="38.25">
      <c r="A209" s="13" t="s">
        <v>92</v>
      </c>
      <c r="B209" s="248" t="s">
        <v>659</v>
      </c>
      <c r="C209" s="283" t="s">
        <v>103</v>
      </c>
      <c r="D209" s="249" t="s">
        <v>312</v>
      </c>
      <c r="E209" s="248">
        <v>600</v>
      </c>
      <c r="F209" s="247">
        <v>17773514</v>
      </c>
      <c r="G209" s="247">
        <v>16683807</v>
      </c>
    </row>
    <row r="210" spans="1:7" ht="12.75">
      <c r="A210" s="269" t="s">
        <v>44</v>
      </c>
      <c r="B210" s="268" t="s">
        <v>659</v>
      </c>
      <c r="C210" s="268" t="s">
        <v>659</v>
      </c>
      <c r="D210" s="268" t="s">
        <v>89</v>
      </c>
      <c r="E210" s="268" t="s">
        <v>89</v>
      </c>
      <c r="F210" s="250">
        <f>F211</f>
        <v>1611036</v>
      </c>
      <c r="G210" s="250">
        <f>G211</f>
        <v>1607541</v>
      </c>
    </row>
    <row r="211" spans="1:7" ht="76.5">
      <c r="A211" s="266" t="s">
        <v>442</v>
      </c>
      <c r="B211" s="248" t="s">
        <v>659</v>
      </c>
      <c r="C211" s="248" t="s">
        <v>659</v>
      </c>
      <c r="D211" s="249" t="s">
        <v>441</v>
      </c>
      <c r="E211" s="248" t="s">
        <v>89</v>
      </c>
      <c r="F211" s="250">
        <f>F212</f>
        <v>1611036</v>
      </c>
      <c r="G211" s="250">
        <f>G212</f>
        <v>1607541</v>
      </c>
    </row>
    <row r="212" spans="1:7" ht="118.5" customHeight="1">
      <c r="A212" s="12" t="s">
        <v>356</v>
      </c>
      <c r="B212" s="248" t="s">
        <v>659</v>
      </c>
      <c r="C212" s="248" t="s">
        <v>659</v>
      </c>
      <c r="D212" s="252" t="s">
        <v>492</v>
      </c>
      <c r="E212" s="251" t="s">
        <v>89</v>
      </c>
      <c r="F212" s="250">
        <f>F213+F220</f>
        <v>1611036</v>
      </c>
      <c r="G212" s="250">
        <f>G213+G220</f>
        <v>1607541</v>
      </c>
    </row>
    <row r="213" spans="1:7" ht="38.25">
      <c r="A213" s="33" t="s">
        <v>491</v>
      </c>
      <c r="B213" s="248" t="s">
        <v>659</v>
      </c>
      <c r="C213" s="248" t="s">
        <v>659</v>
      </c>
      <c r="D213" s="249" t="s">
        <v>490</v>
      </c>
      <c r="E213" s="251"/>
      <c r="F213" s="250">
        <f>F214+F217</f>
        <v>1561036</v>
      </c>
      <c r="G213" s="250">
        <f>G214+G217</f>
        <v>1560607</v>
      </c>
    </row>
    <row r="214" spans="1:7" ht="25.5">
      <c r="A214" s="33" t="s">
        <v>489</v>
      </c>
      <c r="B214" s="248" t="s">
        <v>659</v>
      </c>
      <c r="C214" s="248" t="s">
        <v>659</v>
      </c>
      <c r="D214" s="249" t="s">
        <v>488</v>
      </c>
      <c r="E214" s="251"/>
      <c r="F214" s="250">
        <f>SUM(F215:F216)</f>
        <v>7000</v>
      </c>
      <c r="G214" s="250">
        <f>SUM(G215:G216)</f>
        <v>6571</v>
      </c>
    </row>
    <row r="215" spans="1:7" ht="38.25">
      <c r="A215" s="13" t="s">
        <v>232</v>
      </c>
      <c r="B215" s="248" t="s">
        <v>659</v>
      </c>
      <c r="C215" s="248" t="s">
        <v>659</v>
      </c>
      <c r="D215" s="249" t="s">
        <v>488</v>
      </c>
      <c r="E215" s="251">
        <v>200</v>
      </c>
      <c r="F215" s="247">
        <v>0</v>
      </c>
      <c r="G215" s="247">
        <v>0</v>
      </c>
    </row>
    <row r="216" spans="1:7" ht="39.75" customHeight="1">
      <c r="A216" s="13" t="s">
        <v>92</v>
      </c>
      <c r="B216" s="248" t="s">
        <v>659</v>
      </c>
      <c r="C216" s="248" t="s">
        <v>659</v>
      </c>
      <c r="D216" s="249" t="s">
        <v>488</v>
      </c>
      <c r="E216" s="251">
        <v>600</v>
      </c>
      <c r="F216" s="247">
        <v>7000</v>
      </c>
      <c r="G216" s="247">
        <v>6571</v>
      </c>
    </row>
    <row r="217" spans="1:7" ht="24" customHeight="1">
      <c r="A217" s="74" t="s">
        <v>499</v>
      </c>
      <c r="B217" s="248" t="s">
        <v>659</v>
      </c>
      <c r="C217" s="248" t="s">
        <v>659</v>
      </c>
      <c r="D217" s="249" t="s">
        <v>285</v>
      </c>
      <c r="E217" s="251"/>
      <c r="F217" s="250">
        <f>SUM(F218:F219)</f>
        <v>1554036</v>
      </c>
      <c r="G217" s="250">
        <f>SUM(G218:G219)</f>
        <v>1554036</v>
      </c>
    </row>
    <row r="218" spans="1:8" ht="25.5">
      <c r="A218" s="13" t="s">
        <v>83</v>
      </c>
      <c r="B218" s="248" t="s">
        <v>659</v>
      </c>
      <c r="C218" s="248" t="s">
        <v>659</v>
      </c>
      <c r="D218" s="249" t="s">
        <v>285</v>
      </c>
      <c r="E218" s="251">
        <v>300</v>
      </c>
      <c r="F218" s="202">
        <v>691391</v>
      </c>
      <c r="G218" s="202">
        <v>691391</v>
      </c>
      <c r="H218" s="436"/>
    </row>
    <row r="219" spans="1:7" ht="38.25" customHeight="1">
      <c r="A219" s="13" t="s">
        <v>92</v>
      </c>
      <c r="B219" s="248" t="s">
        <v>659</v>
      </c>
      <c r="C219" s="248" t="s">
        <v>659</v>
      </c>
      <c r="D219" s="249" t="s">
        <v>285</v>
      </c>
      <c r="E219" s="251">
        <v>600</v>
      </c>
      <c r="F219" s="202">
        <v>862645</v>
      </c>
      <c r="G219" s="202">
        <v>862645</v>
      </c>
    </row>
    <row r="220" spans="1:7" ht="63.75">
      <c r="A220" s="33" t="s">
        <v>757</v>
      </c>
      <c r="B220" s="248" t="s">
        <v>659</v>
      </c>
      <c r="C220" s="248" t="s">
        <v>659</v>
      </c>
      <c r="D220" s="249" t="s">
        <v>758</v>
      </c>
      <c r="E220" s="251"/>
      <c r="F220" s="250">
        <f>F221</f>
        <v>50000</v>
      </c>
      <c r="G220" s="250">
        <f>G221</f>
        <v>46934</v>
      </c>
    </row>
    <row r="221" spans="1:7" ht="25.5">
      <c r="A221" s="33" t="s">
        <v>760</v>
      </c>
      <c r="B221" s="248" t="s">
        <v>659</v>
      </c>
      <c r="C221" s="248" t="s">
        <v>659</v>
      </c>
      <c r="D221" s="249" t="s">
        <v>759</v>
      </c>
      <c r="E221" s="251"/>
      <c r="F221" s="250">
        <f>F222</f>
        <v>50000</v>
      </c>
      <c r="G221" s="250">
        <f>G222</f>
        <v>46934</v>
      </c>
    </row>
    <row r="222" spans="1:7" ht="38.25">
      <c r="A222" s="13" t="s">
        <v>232</v>
      </c>
      <c r="B222" s="248" t="s">
        <v>659</v>
      </c>
      <c r="C222" s="248" t="s">
        <v>659</v>
      </c>
      <c r="D222" s="249" t="s">
        <v>759</v>
      </c>
      <c r="E222" s="251">
        <v>200</v>
      </c>
      <c r="F222" s="247">
        <v>50000</v>
      </c>
      <c r="G222" s="247">
        <v>46934</v>
      </c>
    </row>
    <row r="223" spans="1:7" ht="18.75" customHeight="1">
      <c r="A223" s="269" t="s">
        <v>569</v>
      </c>
      <c r="B223" s="268" t="s">
        <v>659</v>
      </c>
      <c r="C223" s="268" t="s">
        <v>104</v>
      </c>
      <c r="D223" s="268" t="s">
        <v>89</v>
      </c>
      <c r="E223" s="268" t="s">
        <v>89</v>
      </c>
      <c r="F223" s="250">
        <f>F224</f>
        <v>9662223</v>
      </c>
      <c r="G223" s="250">
        <f>G224</f>
        <v>9084296</v>
      </c>
    </row>
    <row r="224" spans="1:7" ht="51">
      <c r="A224" s="266" t="s">
        <v>283</v>
      </c>
      <c r="B224" s="248" t="s">
        <v>659</v>
      </c>
      <c r="C224" s="248" t="s">
        <v>104</v>
      </c>
      <c r="D224" s="249" t="s">
        <v>562</v>
      </c>
      <c r="E224" s="248" t="s">
        <v>89</v>
      </c>
      <c r="F224" s="250">
        <f>F225</f>
        <v>9662223</v>
      </c>
      <c r="G224" s="250">
        <f>G225</f>
        <v>9084296</v>
      </c>
    </row>
    <row r="225" spans="1:7" ht="76.5">
      <c r="A225" s="12" t="s">
        <v>713</v>
      </c>
      <c r="B225" s="248" t="s">
        <v>659</v>
      </c>
      <c r="C225" s="248" t="s">
        <v>104</v>
      </c>
      <c r="D225" s="249" t="s">
        <v>313</v>
      </c>
      <c r="E225" s="251" t="s">
        <v>89</v>
      </c>
      <c r="F225" s="250">
        <f>F226+F229+F234</f>
        <v>9662223</v>
      </c>
      <c r="G225" s="250">
        <f>G226+G229+G234</f>
        <v>9084296</v>
      </c>
    </row>
    <row r="226" spans="1:7" ht="63.75">
      <c r="A226" s="28" t="s">
        <v>465</v>
      </c>
      <c r="B226" s="248" t="s">
        <v>659</v>
      </c>
      <c r="C226" s="248" t="s">
        <v>104</v>
      </c>
      <c r="D226" s="249" t="s">
        <v>314</v>
      </c>
      <c r="E226" s="251"/>
      <c r="F226" s="250">
        <f>F227</f>
        <v>236023</v>
      </c>
      <c r="G226" s="250">
        <f>G227</f>
        <v>236023</v>
      </c>
    </row>
    <row r="227" spans="1:7" ht="63.75">
      <c r="A227" s="13" t="s">
        <v>601</v>
      </c>
      <c r="B227" s="248" t="s">
        <v>659</v>
      </c>
      <c r="C227" s="248" t="s">
        <v>104</v>
      </c>
      <c r="D227" s="249" t="s">
        <v>315</v>
      </c>
      <c r="E227" s="248"/>
      <c r="F227" s="250">
        <f>F228</f>
        <v>236023</v>
      </c>
      <c r="G227" s="250">
        <f>G228</f>
        <v>236023</v>
      </c>
    </row>
    <row r="228" spans="1:7" ht="75" customHeight="1">
      <c r="A228" s="13" t="s">
        <v>740</v>
      </c>
      <c r="B228" s="248" t="s">
        <v>659</v>
      </c>
      <c r="C228" s="248" t="s">
        <v>104</v>
      </c>
      <c r="D228" s="249" t="s">
        <v>315</v>
      </c>
      <c r="E228" s="248">
        <v>100</v>
      </c>
      <c r="F228" s="247">
        <v>236023</v>
      </c>
      <c r="G228" s="247">
        <v>236023</v>
      </c>
    </row>
    <row r="229" spans="1:7" ht="51">
      <c r="A229" s="33" t="s">
        <v>330</v>
      </c>
      <c r="B229" s="248" t="s">
        <v>659</v>
      </c>
      <c r="C229" s="248" t="s">
        <v>104</v>
      </c>
      <c r="D229" s="249" t="s">
        <v>317</v>
      </c>
      <c r="E229" s="248"/>
      <c r="F229" s="250">
        <f>F230</f>
        <v>8051438</v>
      </c>
      <c r="G229" s="250">
        <f>G230</f>
        <v>7557799</v>
      </c>
    </row>
    <row r="230" spans="1:7" ht="38.25">
      <c r="A230" s="251" t="s">
        <v>498</v>
      </c>
      <c r="B230" s="248" t="s">
        <v>659</v>
      </c>
      <c r="C230" s="248" t="s">
        <v>104</v>
      </c>
      <c r="D230" s="249" t="s">
        <v>318</v>
      </c>
      <c r="E230" s="248" t="s">
        <v>89</v>
      </c>
      <c r="F230" s="250">
        <f>SUM(F231:F233)</f>
        <v>8051438</v>
      </c>
      <c r="G230" s="250">
        <f>SUM(G231:G233)</f>
        <v>7557799</v>
      </c>
    </row>
    <row r="231" spans="1:7" ht="78.75" customHeight="1">
      <c r="A231" s="13" t="s">
        <v>740</v>
      </c>
      <c r="B231" s="248" t="s">
        <v>659</v>
      </c>
      <c r="C231" s="248" t="s">
        <v>104</v>
      </c>
      <c r="D231" s="249" t="s">
        <v>318</v>
      </c>
      <c r="E231" s="248" t="s">
        <v>597</v>
      </c>
      <c r="F231" s="247">
        <v>7641344</v>
      </c>
      <c r="G231" s="247">
        <v>7172848</v>
      </c>
    </row>
    <row r="232" spans="1:7" ht="38.25">
      <c r="A232" s="13" t="s">
        <v>232</v>
      </c>
      <c r="B232" s="248" t="s">
        <v>659</v>
      </c>
      <c r="C232" s="248" t="s">
        <v>104</v>
      </c>
      <c r="D232" s="249" t="s">
        <v>318</v>
      </c>
      <c r="E232" s="248" t="s">
        <v>76</v>
      </c>
      <c r="F232" s="247">
        <f>163800+205004+36000</f>
        <v>404804</v>
      </c>
      <c r="G232" s="247">
        <v>379985</v>
      </c>
    </row>
    <row r="233" spans="1:7" ht="12.75">
      <c r="A233" s="13" t="s">
        <v>79</v>
      </c>
      <c r="B233" s="248" t="s">
        <v>659</v>
      </c>
      <c r="C233" s="248" t="s">
        <v>104</v>
      </c>
      <c r="D233" s="249" t="s">
        <v>318</v>
      </c>
      <c r="E233" s="248">
        <v>800</v>
      </c>
      <c r="F233" s="247">
        <v>5290</v>
      </c>
      <c r="G233" s="247">
        <v>4966</v>
      </c>
    </row>
    <row r="234" spans="1:7" ht="51">
      <c r="A234" s="251" t="s">
        <v>642</v>
      </c>
      <c r="B234" s="248" t="s">
        <v>659</v>
      </c>
      <c r="C234" s="248" t="s">
        <v>104</v>
      </c>
      <c r="D234" s="249" t="s">
        <v>644</v>
      </c>
      <c r="E234" s="248"/>
      <c r="F234" s="250">
        <f>F235</f>
        <v>1374762</v>
      </c>
      <c r="G234" s="250">
        <f>G235</f>
        <v>1290474</v>
      </c>
    </row>
    <row r="235" spans="1:7" ht="38.25">
      <c r="A235" s="251" t="s">
        <v>736</v>
      </c>
      <c r="B235" s="248" t="s">
        <v>659</v>
      </c>
      <c r="C235" s="248" t="s">
        <v>104</v>
      </c>
      <c r="D235" s="249" t="s">
        <v>645</v>
      </c>
      <c r="E235" s="248"/>
      <c r="F235" s="250">
        <f>SUM(F236:F238)</f>
        <v>1374762</v>
      </c>
      <c r="G235" s="250">
        <f>SUM(G236:G238)</f>
        <v>1290474</v>
      </c>
    </row>
    <row r="236" spans="1:7" ht="80.25" customHeight="1">
      <c r="A236" s="13" t="s">
        <v>740</v>
      </c>
      <c r="B236" s="248" t="s">
        <v>659</v>
      </c>
      <c r="C236" s="248" t="s">
        <v>104</v>
      </c>
      <c r="D236" s="249" t="s">
        <v>645</v>
      </c>
      <c r="E236" s="248" t="s">
        <v>597</v>
      </c>
      <c r="F236" s="247">
        <v>1290762</v>
      </c>
      <c r="G236" s="247">
        <v>1211624</v>
      </c>
    </row>
    <row r="237" spans="1:7" ht="38.25">
      <c r="A237" s="13" t="s">
        <v>232</v>
      </c>
      <c r="B237" s="248" t="s">
        <v>659</v>
      </c>
      <c r="C237" s="248" t="s">
        <v>104</v>
      </c>
      <c r="D237" s="249" t="s">
        <v>645</v>
      </c>
      <c r="E237" s="248" t="s">
        <v>76</v>
      </c>
      <c r="F237" s="247">
        <v>84000</v>
      </c>
      <c r="G237" s="247">
        <v>78850</v>
      </c>
    </row>
    <row r="238" spans="1:7" ht="12.75">
      <c r="A238" s="246" t="s">
        <v>79</v>
      </c>
      <c r="B238" s="244" t="s">
        <v>659</v>
      </c>
      <c r="C238" s="244" t="s">
        <v>104</v>
      </c>
      <c r="D238" s="245" t="s">
        <v>645</v>
      </c>
      <c r="E238" s="244">
        <v>800</v>
      </c>
      <c r="F238" s="243"/>
      <c r="G238" s="243"/>
    </row>
    <row r="239" spans="1:7" ht="12.75">
      <c r="A239" s="226" t="s">
        <v>727</v>
      </c>
      <c r="B239" s="224" t="s">
        <v>558</v>
      </c>
      <c r="C239" s="271" t="s">
        <v>466</v>
      </c>
      <c r="D239" s="224" t="s">
        <v>89</v>
      </c>
      <c r="E239" s="224" t="s">
        <v>89</v>
      </c>
      <c r="F239" s="223">
        <f>F240</f>
        <v>28550829</v>
      </c>
      <c r="G239" s="223">
        <f>G240</f>
        <v>26809744</v>
      </c>
    </row>
    <row r="240" spans="1:7" ht="12.75">
      <c r="A240" s="269" t="s">
        <v>570</v>
      </c>
      <c r="B240" s="268" t="s">
        <v>558</v>
      </c>
      <c r="C240" s="268" t="s">
        <v>535</v>
      </c>
      <c r="D240" s="268" t="s">
        <v>89</v>
      </c>
      <c r="E240" s="268" t="s">
        <v>89</v>
      </c>
      <c r="F240" s="250">
        <f>F241</f>
        <v>28550829</v>
      </c>
      <c r="G240" s="250">
        <f>G241</f>
        <v>26809744</v>
      </c>
    </row>
    <row r="241" spans="1:7" ht="31.5" customHeight="1">
      <c r="A241" s="266" t="s">
        <v>15</v>
      </c>
      <c r="B241" s="248" t="s">
        <v>558</v>
      </c>
      <c r="C241" s="248" t="s">
        <v>535</v>
      </c>
      <c r="D241" s="249" t="s">
        <v>319</v>
      </c>
      <c r="E241" s="248" t="s">
        <v>89</v>
      </c>
      <c r="F241" s="250">
        <f>F242+F248</f>
        <v>28550829</v>
      </c>
      <c r="G241" s="250">
        <f>G242+G248</f>
        <v>26809744</v>
      </c>
    </row>
    <row r="242" spans="1:7" ht="53.25" customHeight="1">
      <c r="A242" s="12" t="s">
        <v>591</v>
      </c>
      <c r="B242" s="248" t="s">
        <v>558</v>
      </c>
      <c r="C242" s="248" t="s">
        <v>535</v>
      </c>
      <c r="D242" s="249" t="s">
        <v>320</v>
      </c>
      <c r="E242" s="251" t="s">
        <v>89</v>
      </c>
      <c r="F242" s="250">
        <f>F243</f>
        <v>5429723</v>
      </c>
      <c r="G242" s="250">
        <f>G243</f>
        <v>5096823</v>
      </c>
    </row>
    <row r="243" spans="1:7" ht="25.5">
      <c r="A243" s="29" t="s">
        <v>487</v>
      </c>
      <c r="B243" s="248" t="s">
        <v>558</v>
      </c>
      <c r="C243" s="248" t="s">
        <v>535</v>
      </c>
      <c r="D243" s="249" t="s">
        <v>321</v>
      </c>
      <c r="E243" s="251"/>
      <c r="F243" s="250">
        <f>F244</f>
        <v>5429723</v>
      </c>
      <c r="G243" s="250">
        <f>G244</f>
        <v>5096823</v>
      </c>
    </row>
    <row r="244" spans="1:7" ht="38.25">
      <c r="A244" s="251" t="s">
        <v>738</v>
      </c>
      <c r="B244" s="248" t="s">
        <v>558</v>
      </c>
      <c r="C244" s="248" t="s">
        <v>535</v>
      </c>
      <c r="D244" s="249" t="s">
        <v>322</v>
      </c>
      <c r="E244" s="248" t="s">
        <v>89</v>
      </c>
      <c r="F244" s="250">
        <f>SUM(F245:F247)</f>
        <v>5429723</v>
      </c>
      <c r="G244" s="250">
        <f>SUM(G245:G247)</f>
        <v>5096823</v>
      </c>
    </row>
    <row r="245" spans="1:7" ht="81.75" customHeight="1">
      <c r="A245" s="13" t="s">
        <v>740</v>
      </c>
      <c r="B245" s="248" t="s">
        <v>558</v>
      </c>
      <c r="C245" s="248" t="s">
        <v>535</v>
      </c>
      <c r="D245" s="249" t="s">
        <v>322</v>
      </c>
      <c r="E245" s="248">
        <v>100</v>
      </c>
      <c r="F245" s="247">
        <v>5205523</v>
      </c>
      <c r="G245" s="247">
        <v>4886368</v>
      </c>
    </row>
    <row r="246" spans="1:7" ht="38.25">
      <c r="A246" s="13" t="s">
        <v>232</v>
      </c>
      <c r="B246" s="248" t="s">
        <v>558</v>
      </c>
      <c r="C246" s="248" t="s">
        <v>535</v>
      </c>
      <c r="D246" s="249" t="s">
        <v>322</v>
      </c>
      <c r="E246" s="248">
        <v>200</v>
      </c>
      <c r="F246" s="247">
        <f>48120+130462+6386+6336</f>
        <v>191304</v>
      </c>
      <c r="G246" s="247">
        <v>179576</v>
      </c>
    </row>
    <row r="247" spans="1:7" ht="12.75">
      <c r="A247" s="13" t="s">
        <v>79</v>
      </c>
      <c r="B247" s="248" t="s">
        <v>558</v>
      </c>
      <c r="C247" s="248" t="s">
        <v>535</v>
      </c>
      <c r="D247" s="249" t="s">
        <v>322</v>
      </c>
      <c r="E247" s="248">
        <v>800</v>
      </c>
      <c r="F247" s="247">
        <v>32896</v>
      </c>
      <c r="G247" s="247">
        <v>30879</v>
      </c>
    </row>
    <row r="248" spans="1:7" ht="44.25" customHeight="1">
      <c r="A248" s="12" t="s">
        <v>592</v>
      </c>
      <c r="B248" s="248" t="s">
        <v>558</v>
      </c>
      <c r="C248" s="248" t="s">
        <v>535</v>
      </c>
      <c r="D248" s="249" t="s">
        <v>323</v>
      </c>
      <c r="E248" s="251"/>
      <c r="F248" s="250">
        <f>F249</f>
        <v>23121106</v>
      </c>
      <c r="G248" s="250">
        <f>G249</f>
        <v>21712921</v>
      </c>
    </row>
    <row r="249" spans="1:7" ht="63.75">
      <c r="A249" s="29" t="s">
        <v>646</v>
      </c>
      <c r="B249" s="248" t="s">
        <v>558</v>
      </c>
      <c r="C249" s="248" t="s">
        <v>535</v>
      </c>
      <c r="D249" s="249" t="s">
        <v>324</v>
      </c>
      <c r="E249" s="251"/>
      <c r="F249" s="250">
        <f>F250+F252</f>
        <v>23121106</v>
      </c>
      <c r="G249" s="250">
        <f>G250+G252</f>
        <v>21712921</v>
      </c>
    </row>
    <row r="250" spans="1:7" ht="38.25">
      <c r="A250" s="251" t="s">
        <v>738</v>
      </c>
      <c r="B250" s="248" t="s">
        <v>558</v>
      </c>
      <c r="C250" s="248" t="s">
        <v>535</v>
      </c>
      <c r="D250" s="249" t="s">
        <v>325</v>
      </c>
      <c r="E250" s="251"/>
      <c r="F250" s="250">
        <f>F251</f>
        <v>23031106</v>
      </c>
      <c r="G250" s="250">
        <f>G251</f>
        <v>21619052</v>
      </c>
    </row>
    <row r="251" spans="1:7" ht="38.25">
      <c r="A251" s="13" t="s">
        <v>92</v>
      </c>
      <c r="B251" s="248" t="s">
        <v>558</v>
      </c>
      <c r="C251" s="248" t="s">
        <v>535</v>
      </c>
      <c r="D251" s="249" t="s">
        <v>325</v>
      </c>
      <c r="E251" s="251">
        <v>600</v>
      </c>
      <c r="F251" s="247">
        <v>23031106</v>
      </c>
      <c r="G251" s="247">
        <v>21619052</v>
      </c>
    </row>
    <row r="252" spans="1:7" ht="36">
      <c r="A252" s="30" t="s">
        <v>295</v>
      </c>
      <c r="B252" s="283" t="s">
        <v>558</v>
      </c>
      <c r="C252" s="248" t="s">
        <v>535</v>
      </c>
      <c r="D252" s="249" t="s">
        <v>274</v>
      </c>
      <c r="E252" s="251"/>
      <c r="F252" s="250">
        <f>F253</f>
        <v>90000</v>
      </c>
      <c r="G252" s="250">
        <f>G253</f>
        <v>93869</v>
      </c>
    </row>
    <row r="253" spans="1:7" ht="28.5" customHeight="1">
      <c r="A253" s="246" t="s">
        <v>93</v>
      </c>
      <c r="B253" s="282" t="s">
        <v>558</v>
      </c>
      <c r="C253" s="244" t="s">
        <v>535</v>
      </c>
      <c r="D253" s="245" t="s">
        <v>274</v>
      </c>
      <c r="E253" s="272">
        <v>200</v>
      </c>
      <c r="F253" s="243">
        <f>100000-10000</f>
        <v>90000</v>
      </c>
      <c r="G253" s="243">
        <v>93869</v>
      </c>
    </row>
    <row r="254" spans="1:7" ht="12.75">
      <c r="A254" s="257" t="s">
        <v>45</v>
      </c>
      <c r="B254" s="271" t="s">
        <v>104</v>
      </c>
      <c r="C254" s="225" t="s">
        <v>466</v>
      </c>
      <c r="D254" s="255"/>
      <c r="E254" s="254"/>
      <c r="F254" s="223">
        <f aca="true" t="shared" si="17" ref="F254:G258">F255</f>
        <v>1084220</v>
      </c>
      <c r="G254" s="223">
        <f t="shared" si="17"/>
        <v>1084220</v>
      </c>
    </row>
    <row r="255" spans="1:7" ht="25.5">
      <c r="A255" s="13" t="s">
        <v>46</v>
      </c>
      <c r="B255" s="283" t="s">
        <v>104</v>
      </c>
      <c r="C255" s="283" t="s">
        <v>659</v>
      </c>
      <c r="D255" s="249"/>
      <c r="E255" s="251"/>
      <c r="F255" s="250">
        <f t="shared" si="17"/>
        <v>1084220</v>
      </c>
      <c r="G255" s="250">
        <f t="shared" si="17"/>
        <v>1084220</v>
      </c>
    </row>
    <row r="256" spans="1:7" ht="25.5">
      <c r="A256" s="266" t="s">
        <v>631</v>
      </c>
      <c r="B256" s="283" t="s">
        <v>104</v>
      </c>
      <c r="C256" s="283" t="s">
        <v>659</v>
      </c>
      <c r="D256" s="249" t="s">
        <v>14</v>
      </c>
      <c r="E256" s="251"/>
      <c r="F256" s="250">
        <f t="shared" si="17"/>
        <v>1084220</v>
      </c>
      <c r="G256" s="250">
        <f t="shared" si="17"/>
        <v>1084220</v>
      </c>
    </row>
    <row r="257" spans="1:7" ht="25.5">
      <c r="A257" s="12" t="s">
        <v>641</v>
      </c>
      <c r="B257" s="283" t="s">
        <v>104</v>
      </c>
      <c r="C257" s="283" t="s">
        <v>659</v>
      </c>
      <c r="D257" s="252" t="s">
        <v>16</v>
      </c>
      <c r="E257" s="251"/>
      <c r="F257" s="250">
        <f t="shared" si="17"/>
        <v>1084220</v>
      </c>
      <c r="G257" s="250">
        <f t="shared" si="17"/>
        <v>1084220</v>
      </c>
    </row>
    <row r="258" spans="1:7" ht="51">
      <c r="A258" s="27" t="s">
        <v>773</v>
      </c>
      <c r="B258" s="283" t="s">
        <v>104</v>
      </c>
      <c r="C258" s="283" t="s">
        <v>659</v>
      </c>
      <c r="D258" s="249" t="s">
        <v>47</v>
      </c>
      <c r="E258" s="251"/>
      <c r="F258" s="250">
        <f t="shared" si="17"/>
        <v>1084220</v>
      </c>
      <c r="G258" s="250">
        <f t="shared" si="17"/>
        <v>1084220</v>
      </c>
    </row>
    <row r="259" spans="1:7" ht="28.5" customHeight="1">
      <c r="A259" s="246" t="s">
        <v>93</v>
      </c>
      <c r="B259" s="282" t="s">
        <v>104</v>
      </c>
      <c r="C259" s="282" t="s">
        <v>659</v>
      </c>
      <c r="D259" s="245" t="s">
        <v>47</v>
      </c>
      <c r="E259" s="272">
        <v>200</v>
      </c>
      <c r="F259" s="243">
        <v>1084220</v>
      </c>
      <c r="G259" s="243">
        <v>1084220</v>
      </c>
    </row>
    <row r="260" spans="1:7" ht="12.75">
      <c r="A260" s="226" t="s">
        <v>571</v>
      </c>
      <c r="B260" s="224" t="s">
        <v>559</v>
      </c>
      <c r="C260" s="271" t="s">
        <v>466</v>
      </c>
      <c r="D260" s="224" t="s">
        <v>89</v>
      </c>
      <c r="E260" s="224" t="s">
        <v>89</v>
      </c>
      <c r="F260" s="223">
        <f>F261+F284+F306</f>
        <v>74917352</v>
      </c>
      <c r="G260" s="223">
        <f>G261+G284+G306</f>
        <v>75856554</v>
      </c>
    </row>
    <row r="261" spans="1:7" ht="12.75">
      <c r="A261" s="269" t="s">
        <v>572</v>
      </c>
      <c r="B261" s="268" t="s">
        <v>559</v>
      </c>
      <c r="C261" s="268" t="s">
        <v>103</v>
      </c>
      <c r="D261" s="268" t="s">
        <v>89</v>
      </c>
      <c r="E261" s="268" t="s">
        <v>89</v>
      </c>
      <c r="F261" s="250">
        <f>F262+F279</f>
        <v>7485212</v>
      </c>
      <c r="G261" s="250">
        <f>G262+G279</f>
        <v>7483986</v>
      </c>
    </row>
    <row r="262" spans="1:7" ht="38.25">
      <c r="A262" s="266" t="s">
        <v>166</v>
      </c>
      <c r="B262" s="248" t="s">
        <v>559</v>
      </c>
      <c r="C262" s="248" t="s">
        <v>103</v>
      </c>
      <c r="D262" s="249" t="s">
        <v>227</v>
      </c>
      <c r="E262" s="248" t="s">
        <v>89</v>
      </c>
      <c r="F262" s="250">
        <f>F263</f>
        <v>7465212</v>
      </c>
      <c r="G262" s="250">
        <f>G263</f>
        <v>7465212</v>
      </c>
    </row>
    <row r="263" spans="1:7" ht="63.75">
      <c r="A263" s="12" t="s">
        <v>167</v>
      </c>
      <c r="B263" s="248" t="s">
        <v>559</v>
      </c>
      <c r="C263" s="248" t="s">
        <v>103</v>
      </c>
      <c r="D263" s="252" t="s">
        <v>119</v>
      </c>
      <c r="E263" s="251" t="s">
        <v>89</v>
      </c>
      <c r="F263" s="250">
        <f>F264+F271+F275</f>
        <v>7465212</v>
      </c>
      <c r="G263" s="250">
        <f>G264+G271+G275</f>
        <v>7465212</v>
      </c>
    </row>
    <row r="264" spans="1:7" ht="38.25">
      <c r="A264" s="29" t="s">
        <v>647</v>
      </c>
      <c r="B264" s="248" t="s">
        <v>559</v>
      </c>
      <c r="C264" s="248" t="s">
        <v>103</v>
      </c>
      <c r="D264" s="252" t="s">
        <v>128</v>
      </c>
      <c r="E264" s="248"/>
      <c r="F264" s="250">
        <f>F265+F268</f>
        <v>7074641</v>
      </c>
      <c r="G264" s="250">
        <f>G265+G268</f>
        <v>7074641</v>
      </c>
    </row>
    <row r="265" spans="1:7" ht="25.5">
      <c r="A265" s="251" t="s">
        <v>594</v>
      </c>
      <c r="B265" s="248" t="s">
        <v>559</v>
      </c>
      <c r="C265" s="248" t="s">
        <v>103</v>
      </c>
      <c r="D265" s="249" t="s">
        <v>648</v>
      </c>
      <c r="E265" s="248" t="s">
        <v>89</v>
      </c>
      <c r="F265" s="250">
        <f>SUM(F266:F267)</f>
        <v>6592141</v>
      </c>
      <c r="G265" s="250">
        <f>SUM(G266:G267)</f>
        <v>6592141</v>
      </c>
    </row>
    <row r="266" spans="1:7" ht="38.25">
      <c r="A266" s="13" t="s">
        <v>232</v>
      </c>
      <c r="B266" s="248" t="s">
        <v>559</v>
      </c>
      <c r="C266" s="248" t="s">
        <v>103</v>
      </c>
      <c r="D266" s="249" t="s">
        <v>648</v>
      </c>
      <c r="E266" s="248">
        <v>200</v>
      </c>
      <c r="F266" s="247">
        <v>71000</v>
      </c>
      <c r="G266" s="247">
        <v>71000</v>
      </c>
    </row>
    <row r="267" spans="1:7" ht="25.5">
      <c r="A267" s="13" t="s">
        <v>83</v>
      </c>
      <c r="B267" s="248" t="s">
        <v>559</v>
      </c>
      <c r="C267" s="248" t="s">
        <v>103</v>
      </c>
      <c r="D267" s="249" t="s">
        <v>648</v>
      </c>
      <c r="E267" s="248">
        <v>300</v>
      </c>
      <c r="F267" s="247">
        <v>6521141</v>
      </c>
      <c r="G267" s="247">
        <v>6521141</v>
      </c>
    </row>
    <row r="268" spans="1:7" ht="25.5">
      <c r="A268" s="251" t="s">
        <v>595</v>
      </c>
      <c r="B268" s="248" t="s">
        <v>559</v>
      </c>
      <c r="C268" s="248" t="s">
        <v>103</v>
      </c>
      <c r="D268" s="249" t="s">
        <v>649</v>
      </c>
      <c r="E268" s="248" t="s">
        <v>89</v>
      </c>
      <c r="F268" s="250">
        <f>SUM(F269:F270)</f>
        <v>482500</v>
      </c>
      <c r="G268" s="250">
        <f>SUM(G269:G270)</f>
        <v>482500</v>
      </c>
    </row>
    <row r="269" spans="1:7" ht="38.25">
      <c r="A269" s="13" t="s">
        <v>232</v>
      </c>
      <c r="B269" s="248" t="s">
        <v>559</v>
      </c>
      <c r="C269" s="248" t="s">
        <v>103</v>
      </c>
      <c r="D269" s="249" t="s">
        <v>649</v>
      </c>
      <c r="E269" s="248">
        <v>200</v>
      </c>
      <c r="F269" s="247">
        <v>9500</v>
      </c>
      <c r="G269" s="247">
        <v>9500</v>
      </c>
    </row>
    <row r="270" spans="1:7" ht="25.5">
      <c r="A270" s="13" t="s">
        <v>83</v>
      </c>
      <c r="B270" s="248" t="s">
        <v>559</v>
      </c>
      <c r="C270" s="248" t="s">
        <v>103</v>
      </c>
      <c r="D270" s="249" t="s">
        <v>649</v>
      </c>
      <c r="E270" s="248" t="s">
        <v>82</v>
      </c>
      <c r="F270" s="247">
        <v>473000</v>
      </c>
      <c r="G270" s="247">
        <v>473000</v>
      </c>
    </row>
    <row r="271" spans="1:7" ht="38.25">
      <c r="A271" s="28" t="s">
        <v>125</v>
      </c>
      <c r="B271" s="268" t="s">
        <v>559</v>
      </c>
      <c r="C271" s="268" t="s">
        <v>103</v>
      </c>
      <c r="D271" s="252" t="s">
        <v>129</v>
      </c>
      <c r="E271" s="268"/>
      <c r="F271" s="250">
        <f>F272</f>
        <v>125083</v>
      </c>
      <c r="G271" s="250">
        <f>G272</f>
        <v>125083</v>
      </c>
    </row>
    <row r="272" spans="1:7" ht="51">
      <c r="A272" s="251" t="s">
        <v>266</v>
      </c>
      <c r="B272" s="248" t="s">
        <v>559</v>
      </c>
      <c r="C272" s="248" t="s">
        <v>103</v>
      </c>
      <c r="D272" s="249" t="s">
        <v>130</v>
      </c>
      <c r="E272" s="248" t="s">
        <v>89</v>
      </c>
      <c r="F272" s="250">
        <f>SUM(F273:F274)</f>
        <v>125083</v>
      </c>
      <c r="G272" s="250">
        <f>SUM(G273:G274)</f>
        <v>125083</v>
      </c>
    </row>
    <row r="273" spans="1:7" ht="38.25">
      <c r="A273" s="13" t="s">
        <v>232</v>
      </c>
      <c r="B273" s="248" t="s">
        <v>559</v>
      </c>
      <c r="C273" s="248" t="s">
        <v>103</v>
      </c>
      <c r="D273" s="249" t="s">
        <v>130</v>
      </c>
      <c r="E273" s="248">
        <v>200</v>
      </c>
      <c r="F273" s="250">
        <v>1900</v>
      </c>
      <c r="G273" s="250">
        <v>1900</v>
      </c>
    </row>
    <row r="274" spans="1:7" ht="25.5">
      <c r="A274" s="13" t="s">
        <v>83</v>
      </c>
      <c r="B274" s="248" t="s">
        <v>559</v>
      </c>
      <c r="C274" s="248" t="s">
        <v>103</v>
      </c>
      <c r="D274" s="249" t="s">
        <v>130</v>
      </c>
      <c r="E274" s="248" t="s">
        <v>82</v>
      </c>
      <c r="F274" s="247">
        <v>123183</v>
      </c>
      <c r="G274" s="247">
        <v>123183</v>
      </c>
    </row>
    <row r="275" spans="1:7" ht="51">
      <c r="A275" s="31" t="s">
        <v>650</v>
      </c>
      <c r="B275" s="268" t="s">
        <v>559</v>
      </c>
      <c r="C275" s="268" t="s">
        <v>103</v>
      </c>
      <c r="D275" s="252" t="s">
        <v>131</v>
      </c>
      <c r="E275" s="268"/>
      <c r="F275" s="250">
        <f>F276</f>
        <v>265488</v>
      </c>
      <c r="G275" s="250">
        <f>G276</f>
        <v>265488</v>
      </c>
    </row>
    <row r="276" spans="1:7" ht="51">
      <c r="A276" s="251" t="s">
        <v>496</v>
      </c>
      <c r="B276" s="248" t="s">
        <v>559</v>
      </c>
      <c r="C276" s="248" t="s">
        <v>103</v>
      </c>
      <c r="D276" s="249" t="s">
        <v>132</v>
      </c>
      <c r="E276" s="248" t="s">
        <v>89</v>
      </c>
      <c r="F276" s="250">
        <f>SUM(F277:F278)</f>
        <v>265488</v>
      </c>
      <c r="G276" s="250">
        <f>SUM(G277:G278)</f>
        <v>265488</v>
      </c>
    </row>
    <row r="277" spans="1:7" ht="38.25">
      <c r="A277" s="13" t="s">
        <v>232</v>
      </c>
      <c r="B277" s="248" t="s">
        <v>559</v>
      </c>
      <c r="C277" s="248" t="s">
        <v>103</v>
      </c>
      <c r="D277" s="249" t="s">
        <v>132</v>
      </c>
      <c r="E277" s="248">
        <v>200</v>
      </c>
      <c r="F277" s="247">
        <v>2000</v>
      </c>
      <c r="G277" s="247">
        <v>2000</v>
      </c>
    </row>
    <row r="278" spans="1:7" ht="25.5">
      <c r="A278" s="13" t="s">
        <v>83</v>
      </c>
      <c r="B278" s="248" t="s">
        <v>559</v>
      </c>
      <c r="C278" s="248" t="s">
        <v>103</v>
      </c>
      <c r="D278" s="249" t="s">
        <v>132</v>
      </c>
      <c r="E278" s="248">
        <v>300</v>
      </c>
      <c r="F278" s="247">
        <v>263488</v>
      </c>
      <c r="G278" s="247">
        <v>263488</v>
      </c>
    </row>
    <row r="279" spans="1:7" ht="51">
      <c r="A279" s="266" t="s">
        <v>281</v>
      </c>
      <c r="B279" s="248">
        <v>10</v>
      </c>
      <c r="C279" s="248" t="s">
        <v>103</v>
      </c>
      <c r="D279" s="249" t="s">
        <v>562</v>
      </c>
      <c r="E279" s="248"/>
      <c r="F279" s="250">
        <f aca="true" t="shared" si="18" ref="F279:G282">F280</f>
        <v>20000</v>
      </c>
      <c r="G279" s="250">
        <f t="shared" si="18"/>
        <v>18774</v>
      </c>
    </row>
    <row r="280" spans="1:7" ht="63.75">
      <c r="A280" s="12" t="s">
        <v>282</v>
      </c>
      <c r="B280" s="248">
        <v>10</v>
      </c>
      <c r="C280" s="248" t="s">
        <v>103</v>
      </c>
      <c r="D280" s="252" t="s">
        <v>563</v>
      </c>
      <c r="E280" s="248"/>
      <c r="F280" s="250">
        <f t="shared" si="18"/>
        <v>20000</v>
      </c>
      <c r="G280" s="250">
        <f t="shared" si="18"/>
        <v>18774</v>
      </c>
    </row>
    <row r="281" spans="1:7" ht="25.5">
      <c r="A281" s="28" t="s">
        <v>463</v>
      </c>
      <c r="B281" s="248">
        <v>10</v>
      </c>
      <c r="C281" s="248" t="s">
        <v>103</v>
      </c>
      <c r="D281" s="252" t="s">
        <v>308</v>
      </c>
      <c r="E281" s="248"/>
      <c r="F281" s="250">
        <f t="shared" si="18"/>
        <v>20000</v>
      </c>
      <c r="G281" s="250">
        <f t="shared" si="18"/>
        <v>18774</v>
      </c>
    </row>
    <row r="282" spans="1:7" ht="12.75">
      <c r="A282" s="30" t="s">
        <v>278</v>
      </c>
      <c r="B282" s="248">
        <v>10</v>
      </c>
      <c r="C282" s="248" t="s">
        <v>103</v>
      </c>
      <c r="D282" s="249" t="s">
        <v>277</v>
      </c>
      <c r="E282" s="248"/>
      <c r="F282" s="250">
        <f t="shared" si="18"/>
        <v>20000</v>
      </c>
      <c r="G282" s="250">
        <f t="shared" si="18"/>
        <v>18774</v>
      </c>
    </row>
    <row r="283" spans="1:7" ht="25.5">
      <c r="A283" s="13" t="s">
        <v>83</v>
      </c>
      <c r="B283" s="248">
        <v>10</v>
      </c>
      <c r="C283" s="248" t="s">
        <v>103</v>
      </c>
      <c r="D283" s="249" t="s">
        <v>277</v>
      </c>
      <c r="E283" s="248">
        <v>300</v>
      </c>
      <c r="F283" s="247">
        <v>20000</v>
      </c>
      <c r="G283" s="247">
        <v>18774</v>
      </c>
    </row>
    <row r="284" spans="1:7" ht="12.75">
      <c r="A284" s="269" t="s">
        <v>573</v>
      </c>
      <c r="B284" s="268" t="s">
        <v>559</v>
      </c>
      <c r="C284" s="268" t="s">
        <v>538</v>
      </c>
      <c r="D284" s="268" t="s">
        <v>89</v>
      </c>
      <c r="E284" s="268" t="s">
        <v>89</v>
      </c>
      <c r="F284" s="250">
        <f>F285+F300</f>
        <v>62655640</v>
      </c>
      <c r="G284" s="250">
        <f>G285+G300</f>
        <v>63596068</v>
      </c>
    </row>
    <row r="285" spans="1:7" ht="38.25">
      <c r="A285" s="266" t="s">
        <v>166</v>
      </c>
      <c r="B285" s="248" t="s">
        <v>559</v>
      </c>
      <c r="C285" s="248" t="s">
        <v>538</v>
      </c>
      <c r="D285" s="249" t="s">
        <v>227</v>
      </c>
      <c r="E285" s="248"/>
      <c r="F285" s="250">
        <f>F286</f>
        <v>57539542</v>
      </c>
      <c r="G285" s="250">
        <f>G286</f>
        <v>58479970</v>
      </c>
    </row>
    <row r="286" spans="1:7" ht="76.5" customHeight="1">
      <c r="A286" s="12" t="s">
        <v>244</v>
      </c>
      <c r="B286" s="248" t="s">
        <v>559</v>
      </c>
      <c r="C286" s="248" t="s">
        <v>538</v>
      </c>
      <c r="D286" s="252" t="s">
        <v>7</v>
      </c>
      <c r="E286" s="251" t="s">
        <v>89</v>
      </c>
      <c r="F286" s="250">
        <f>F287+F294+F297</f>
        <v>57539542</v>
      </c>
      <c r="G286" s="250">
        <f>G287+G294+G297</f>
        <v>58479970</v>
      </c>
    </row>
    <row r="287" spans="1:7" ht="63.75">
      <c r="A287" s="29" t="s">
        <v>762</v>
      </c>
      <c r="B287" s="248" t="s">
        <v>559</v>
      </c>
      <c r="C287" s="248" t="s">
        <v>538</v>
      </c>
      <c r="D287" s="248" t="s">
        <v>126</v>
      </c>
      <c r="E287" s="248"/>
      <c r="F287" s="250">
        <f>F288+F290+F292</f>
        <v>47192196</v>
      </c>
      <c r="G287" s="250">
        <f>G288+G290+G292</f>
        <v>50039667</v>
      </c>
    </row>
    <row r="288" spans="1:7" ht="12.75">
      <c r="A288" s="28" t="s">
        <v>560</v>
      </c>
      <c r="B288" s="248" t="s">
        <v>559</v>
      </c>
      <c r="C288" s="248" t="s">
        <v>538</v>
      </c>
      <c r="D288" s="249" t="s">
        <v>763</v>
      </c>
      <c r="E288" s="248"/>
      <c r="F288" s="250">
        <f>F289</f>
        <v>1707915</v>
      </c>
      <c r="G288" s="250">
        <f>G289</f>
        <v>1707915</v>
      </c>
    </row>
    <row r="289" spans="1:7" ht="25.5">
      <c r="A289" s="13" t="s">
        <v>83</v>
      </c>
      <c r="B289" s="248" t="s">
        <v>559</v>
      </c>
      <c r="C289" s="248" t="s">
        <v>538</v>
      </c>
      <c r="D289" s="249" t="s">
        <v>763</v>
      </c>
      <c r="E289" s="248">
        <v>300</v>
      </c>
      <c r="F289" s="247">
        <v>1707915</v>
      </c>
      <c r="G289" s="247">
        <v>1707915</v>
      </c>
    </row>
    <row r="290" spans="1:7" ht="38.25">
      <c r="A290" s="398" t="s">
        <v>515</v>
      </c>
      <c r="B290" s="248" t="s">
        <v>559</v>
      </c>
      <c r="C290" s="248" t="s">
        <v>538</v>
      </c>
      <c r="D290" s="249" t="s">
        <v>516</v>
      </c>
      <c r="E290" s="248"/>
      <c r="F290" s="247">
        <f>F291</f>
        <v>44608300</v>
      </c>
      <c r="G290" s="247">
        <f>G291</f>
        <v>47416182</v>
      </c>
    </row>
    <row r="291" spans="1:7" ht="25.5">
      <c r="A291" s="13" t="s">
        <v>83</v>
      </c>
      <c r="B291" s="248" t="s">
        <v>559</v>
      </c>
      <c r="C291" s="248" t="s">
        <v>538</v>
      </c>
      <c r="D291" s="249" t="s">
        <v>516</v>
      </c>
      <c r="E291" s="248">
        <v>300</v>
      </c>
      <c r="F291" s="247">
        <v>44608300</v>
      </c>
      <c r="G291" s="247">
        <v>47416182</v>
      </c>
    </row>
    <row r="292" spans="1:7" ht="51">
      <c r="A292" s="398" t="s">
        <v>517</v>
      </c>
      <c r="B292" s="248" t="s">
        <v>559</v>
      </c>
      <c r="C292" s="248" t="s">
        <v>538</v>
      </c>
      <c r="D292" s="249" t="s">
        <v>518</v>
      </c>
      <c r="E292" s="248"/>
      <c r="F292" s="247">
        <f>F293</f>
        <v>875981</v>
      </c>
      <c r="G292" s="247">
        <f>G293</f>
        <v>915570</v>
      </c>
    </row>
    <row r="293" spans="1:7" ht="38.25">
      <c r="A293" s="13" t="s">
        <v>232</v>
      </c>
      <c r="B293" s="248" t="s">
        <v>559</v>
      </c>
      <c r="C293" s="248" t="s">
        <v>538</v>
      </c>
      <c r="D293" s="249" t="s">
        <v>518</v>
      </c>
      <c r="E293" s="248">
        <v>200</v>
      </c>
      <c r="F293" s="247">
        <v>875981</v>
      </c>
      <c r="G293" s="247">
        <v>915570</v>
      </c>
    </row>
    <row r="294" spans="1:7" ht="64.5" customHeight="1">
      <c r="A294" s="29" t="s">
        <v>127</v>
      </c>
      <c r="B294" s="248" t="s">
        <v>559</v>
      </c>
      <c r="C294" s="248" t="s">
        <v>538</v>
      </c>
      <c r="D294" s="252" t="s">
        <v>764</v>
      </c>
      <c r="E294" s="251"/>
      <c r="F294" s="250">
        <f>F295</f>
        <v>6119254</v>
      </c>
      <c r="G294" s="250">
        <f>G295</f>
        <v>6326257</v>
      </c>
    </row>
    <row r="295" spans="1:7" ht="51">
      <c r="A295" s="251" t="s">
        <v>596</v>
      </c>
      <c r="B295" s="248" t="s">
        <v>559</v>
      </c>
      <c r="C295" s="248" t="s">
        <v>538</v>
      </c>
      <c r="D295" s="249" t="s">
        <v>765</v>
      </c>
      <c r="E295" s="248" t="s">
        <v>89</v>
      </c>
      <c r="F295" s="250">
        <f>SUM(F296:F296)</f>
        <v>6119254</v>
      </c>
      <c r="G295" s="250">
        <f>SUM(G296:G296)</f>
        <v>6326257</v>
      </c>
    </row>
    <row r="296" spans="1:7" ht="25.5">
      <c r="A296" s="13" t="s">
        <v>83</v>
      </c>
      <c r="B296" s="248" t="s">
        <v>559</v>
      </c>
      <c r="C296" s="248" t="s">
        <v>538</v>
      </c>
      <c r="D296" s="249" t="s">
        <v>765</v>
      </c>
      <c r="E296" s="248">
        <v>300</v>
      </c>
      <c r="F296" s="247">
        <v>6119254</v>
      </c>
      <c r="G296" s="247">
        <v>6326257</v>
      </c>
    </row>
    <row r="297" spans="1:7" ht="54" customHeight="1">
      <c r="A297" s="483" t="s">
        <v>952</v>
      </c>
      <c r="B297" s="248" t="s">
        <v>559</v>
      </c>
      <c r="C297" s="248" t="s">
        <v>538</v>
      </c>
      <c r="D297" s="192" t="s">
        <v>950</v>
      </c>
      <c r="E297" s="191"/>
      <c r="F297" s="247">
        <f>F298</f>
        <v>4228092</v>
      </c>
      <c r="G297" s="247">
        <f>G298</f>
        <v>2114046</v>
      </c>
    </row>
    <row r="298" spans="1:7" ht="66.75" customHeight="1">
      <c r="A298" s="483" t="s">
        <v>924</v>
      </c>
      <c r="B298" s="248" t="s">
        <v>559</v>
      </c>
      <c r="C298" s="248" t="s">
        <v>538</v>
      </c>
      <c r="D298" s="192" t="s">
        <v>933</v>
      </c>
      <c r="E298" s="191"/>
      <c r="F298" s="247">
        <f>F299</f>
        <v>4228092</v>
      </c>
      <c r="G298" s="247">
        <f>G299</f>
        <v>2114046</v>
      </c>
    </row>
    <row r="299" spans="1:7" ht="38.25">
      <c r="A299" s="483" t="s">
        <v>225</v>
      </c>
      <c r="B299" s="248" t="s">
        <v>559</v>
      </c>
      <c r="C299" s="248" t="s">
        <v>538</v>
      </c>
      <c r="D299" s="192" t="s">
        <v>933</v>
      </c>
      <c r="E299" s="191">
        <v>400</v>
      </c>
      <c r="F299" s="247">
        <v>4228092</v>
      </c>
      <c r="G299" s="247">
        <v>2114046</v>
      </c>
    </row>
    <row r="300" spans="1:7" ht="51">
      <c r="A300" s="266" t="s">
        <v>281</v>
      </c>
      <c r="B300" s="248">
        <v>10</v>
      </c>
      <c r="C300" s="248" t="s">
        <v>538</v>
      </c>
      <c r="D300" s="249" t="s">
        <v>562</v>
      </c>
      <c r="E300" s="248"/>
      <c r="F300" s="250">
        <f aca="true" t="shared" si="19" ref="F300:G302">F301</f>
        <v>5116098</v>
      </c>
      <c r="G300" s="250">
        <f t="shared" si="19"/>
        <v>5116098</v>
      </c>
    </row>
    <row r="301" spans="1:7" ht="63.75">
      <c r="A301" s="12" t="s">
        <v>282</v>
      </c>
      <c r="B301" s="248">
        <v>10</v>
      </c>
      <c r="C301" s="248" t="s">
        <v>538</v>
      </c>
      <c r="D301" s="252" t="s">
        <v>563</v>
      </c>
      <c r="E301" s="248"/>
      <c r="F301" s="250">
        <f t="shared" si="19"/>
        <v>5116098</v>
      </c>
      <c r="G301" s="250">
        <f t="shared" si="19"/>
        <v>5116098</v>
      </c>
    </row>
    <row r="302" spans="1:7" ht="25.5">
      <c r="A302" s="32" t="s">
        <v>461</v>
      </c>
      <c r="B302" s="248">
        <v>10</v>
      </c>
      <c r="C302" s="248" t="s">
        <v>538</v>
      </c>
      <c r="D302" s="252" t="s">
        <v>133</v>
      </c>
      <c r="E302" s="248"/>
      <c r="F302" s="250">
        <f t="shared" si="19"/>
        <v>5116098</v>
      </c>
      <c r="G302" s="250">
        <f t="shared" si="19"/>
        <v>5116098</v>
      </c>
    </row>
    <row r="303" spans="1:7" ht="25.5">
      <c r="A303" s="13" t="s">
        <v>327</v>
      </c>
      <c r="B303" s="248">
        <v>10</v>
      </c>
      <c r="C303" s="248" t="s">
        <v>538</v>
      </c>
      <c r="D303" s="249" t="s">
        <v>247</v>
      </c>
      <c r="E303" s="248"/>
      <c r="F303" s="250">
        <f>SUM(F304:F305)</f>
        <v>5116098</v>
      </c>
      <c r="G303" s="250">
        <f>SUM(G304:G305)</f>
        <v>5116098</v>
      </c>
    </row>
    <row r="304" spans="1:7" ht="38.25">
      <c r="A304" s="13" t="s">
        <v>232</v>
      </c>
      <c r="B304" s="248">
        <v>10</v>
      </c>
      <c r="C304" s="248" t="s">
        <v>538</v>
      </c>
      <c r="D304" s="249" t="s">
        <v>247</v>
      </c>
      <c r="E304" s="248">
        <v>200</v>
      </c>
      <c r="F304" s="247">
        <v>20382</v>
      </c>
      <c r="G304" s="247">
        <v>20382</v>
      </c>
    </row>
    <row r="305" spans="1:7" ht="25.5">
      <c r="A305" s="13" t="s">
        <v>83</v>
      </c>
      <c r="B305" s="248">
        <v>10</v>
      </c>
      <c r="C305" s="248" t="s">
        <v>538</v>
      </c>
      <c r="D305" s="249" t="s">
        <v>247</v>
      </c>
      <c r="E305" s="248">
        <v>300</v>
      </c>
      <c r="F305" s="247">
        <v>5095716</v>
      </c>
      <c r="G305" s="247">
        <v>5095716</v>
      </c>
    </row>
    <row r="306" spans="1:7" ht="25.5">
      <c r="A306" s="269" t="s">
        <v>578</v>
      </c>
      <c r="B306" s="268" t="s">
        <v>559</v>
      </c>
      <c r="C306" s="268" t="s">
        <v>539</v>
      </c>
      <c r="D306" s="268" t="s">
        <v>89</v>
      </c>
      <c r="E306" s="268" t="s">
        <v>89</v>
      </c>
      <c r="F306" s="250">
        <f>F307+F323</f>
        <v>4776500</v>
      </c>
      <c r="G306" s="250">
        <f>G307+G323</f>
        <v>4776500</v>
      </c>
    </row>
    <row r="307" spans="1:7" ht="38.25">
      <c r="A307" s="266" t="s">
        <v>166</v>
      </c>
      <c r="B307" s="248" t="s">
        <v>559</v>
      </c>
      <c r="C307" s="248" t="s">
        <v>539</v>
      </c>
      <c r="D307" s="249" t="s">
        <v>227</v>
      </c>
      <c r="E307" s="248" t="s">
        <v>89</v>
      </c>
      <c r="F307" s="250">
        <f>F308+F318</f>
        <v>4441800</v>
      </c>
      <c r="G307" s="250">
        <f>G308+G318</f>
        <v>4441800</v>
      </c>
    </row>
    <row r="308" spans="1:7" ht="69.75" customHeight="1">
      <c r="A308" s="12" t="s">
        <v>384</v>
      </c>
      <c r="B308" s="248" t="s">
        <v>559</v>
      </c>
      <c r="C308" s="248" t="s">
        <v>539</v>
      </c>
      <c r="D308" s="252" t="s">
        <v>6</v>
      </c>
      <c r="E308" s="251" t="s">
        <v>89</v>
      </c>
      <c r="F308" s="250">
        <f>F309</f>
        <v>3437700</v>
      </c>
      <c r="G308" s="250">
        <f>G309</f>
        <v>3437700</v>
      </c>
    </row>
    <row r="309" spans="1:7" ht="63.75">
      <c r="A309" s="32" t="s">
        <v>766</v>
      </c>
      <c r="B309" s="248" t="s">
        <v>559</v>
      </c>
      <c r="C309" s="248" t="s">
        <v>539</v>
      </c>
      <c r="D309" s="252" t="s">
        <v>767</v>
      </c>
      <c r="E309" s="251"/>
      <c r="F309" s="250">
        <f>F310+F314</f>
        <v>3437700</v>
      </c>
      <c r="G309" s="250">
        <f>G310+G314</f>
        <v>3437700</v>
      </c>
    </row>
    <row r="310" spans="1:7" ht="51">
      <c r="A310" s="251" t="s">
        <v>394</v>
      </c>
      <c r="B310" s="248" t="s">
        <v>559</v>
      </c>
      <c r="C310" s="248" t="s">
        <v>539</v>
      </c>
      <c r="D310" s="252" t="s">
        <v>768</v>
      </c>
      <c r="E310" s="248" t="s">
        <v>89</v>
      </c>
      <c r="F310" s="250">
        <f>SUM(F311:F313)</f>
        <v>2342900</v>
      </c>
      <c r="G310" s="250">
        <f>SUM(G311:G313)</f>
        <v>2342900</v>
      </c>
    </row>
    <row r="311" spans="1:7" ht="82.5" customHeight="1">
      <c r="A311" s="13" t="s">
        <v>740</v>
      </c>
      <c r="B311" s="248" t="s">
        <v>559</v>
      </c>
      <c r="C311" s="248" t="s">
        <v>539</v>
      </c>
      <c r="D311" s="252" t="s">
        <v>768</v>
      </c>
      <c r="E311" s="248">
        <v>100</v>
      </c>
      <c r="F311" s="247">
        <v>2232400</v>
      </c>
      <c r="G311" s="247">
        <v>2232400</v>
      </c>
    </row>
    <row r="312" spans="1:7" ht="38.25">
      <c r="A312" s="13" t="s">
        <v>232</v>
      </c>
      <c r="B312" s="248" t="s">
        <v>559</v>
      </c>
      <c r="C312" s="248" t="s">
        <v>539</v>
      </c>
      <c r="D312" s="252" t="s">
        <v>768</v>
      </c>
      <c r="E312" s="251">
        <v>200</v>
      </c>
      <c r="F312" s="247">
        <v>110000</v>
      </c>
      <c r="G312" s="247">
        <v>110000</v>
      </c>
    </row>
    <row r="313" spans="1:7" ht="12.75">
      <c r="A313" s="13" t="s">
        <v>79</v>
      </c>
      <c r="B313" s="248" t="s">
        <v>559</v>
      </c>
      <c r="C313" s="248" t="s">
        <v>539</v>
      </c>
      <c r="D313" s="252" t="s">
        <v>768</v>
      </c>
      <c r="E313" s="251">
        <v>800</v>
      </c>
      <c r="F313" s="247">
        <v>500</v>
      </c>
      <c r="G313" s="247">
        <v>500</v>
      </c>
    </row>
    <row r="314" spans="1:7" ht="89.25">
      <c r="A314" s="203" t="s">
        <v>715</v>
      </c>
      <c r="B314" s="248" t="s">
        <v>559</v>
      </c>
      <c r="C314" s="248" t="s">
        <v>539</v>
      </c>
      <c r="D314" s="249" t="s">
        <v>337</v>
      </c>
      <c r="E314" s="251"/>
      <c r="F314" s="247">
        <f>F315+F316+F317</f>
        <v>1094800</v>
      </c>
      <c r="G314" s="247">
        <f>G315+G316+G317</f>
        <v>1094800</v>
      </c>
    </row>
    <row r="315" spans="1:7" ht="78" customHeight="1">
      <c r="A315" s="13" t="s">
        <v>740</v>
      </c>
      <c r="B315" s="248" t="s">
        <v>559</v>
      </c>
      <c r="C315" s="248" t="s">
        <v>539</v>
      </c>
      <c r="D315" s="249" t="s">
        <v>337</v>
      </c>
      <c r="E315" s="251">
        <v>100</v>
      </c>
      <c r="F315" s="247">
        <v>982100</v>
      </c>
      <c r="G315" s="247">
        <v>982100</v>
      </c>
    </row>
    <row r="316" spans="1:7" ht="38.25">
      <c r="A316" s="13" t="s">
        <v>232</v>
      </c>
      <c r="B316" s="248" t="s">
        <v>559</v>
      </c>
      <c r="C316" s="248" t="s">
        <v>539</v>
      </c>
      <c r="D316" s="249" t="s">
        <v>337</v>
      </c>
      <c r="E316" s="251">
        <v>200</v>
      </c>
      <c r="F316" s="247">
        <v>112200</v>
      </c>
      <c r="G316" s="247">
        <v>112200</v>
      </c>
    </row>
    <row r="317" spans="1:7" ht="12.75">
      <c r="A317" s="246" t="s">
        <v>79</v>
      </c>
      <c r="B317" s="244" t="s">
        <v>559</v>
      </c>
      <c r="C317" s="244" t="s">
        <v>539</v>
      </c>
      <c r="D317" s="245" t="s">
        <v>337</v>
      </c>
      <c r="E317" s="272">
        <v>800</v>
      </c>
      <c r="F317" s="243">
        <v>500</v>
      </c>
      <c r="G317" s="243">
        <v>500</v>
      </c>
    </row>
    <row r="318" spans="1:7" ht="84" customHeight="1">
      <c r="A318" s="12" t="s">
        <v>176</v>
      </c>
      <c r="B318" s="248" t="s">
        <v>559</v>
      </c>
      <c r="C318" s="248" t="s">
        <v>539</v>
      </c>
      <c r="D318" s="248" t="s">
        <v>7</v>
      </c>
      <c r="E318" s="251" t="s">
        <v>89</v>
      </c>
      <c r="F318" s="250">
        <f>F319</f>
        <v>1004100</v>
      </c>
      <c r="G318" s="250">
        <f>G319</f>
        <v>1004100</v>
      </c>
    </row>
    <row r="319" spans="1:7" ht="63.75">
      <c r="A319" s="13" t="s">
        <v>593</v>
      </c>
      <c r="B319" s="248" t="s">
        <v>559</v>
      </c>
      <c r="C319" s="248" t="s">
        <v>539</v>
      </c>
      <c r="D319" s="248" t="s">
        <v>600</v>
      </c>
      <c r="E319" s="251"/>
      <c r="F319" s="250">
        <f>F320</f>
        <v>1004100</v>
      </c>
      <c r="G319" s="250">
        <f>G320</f>
        <v>1004100</v>
      </c>
    </row>
    <row r="320" spans="1:7" ht="69.75" customHeight="1">
      <c r="A320" s="251" t="s">
        <v>286</v>
      </c>
      <c r="B320" s="248" t="s">
        <v>559</v>
      </c>
      <c r="C320" s="248" t="s">
        <v>539</v>
      </c>
      <c r="D320" s="249" t="s">
        <v>456</v>
      </c>
      <c r="E320" s="248"/>
      <c r="F320" s="250">
        <f>SUM(F321:F322)</f>
        <v>1004100</v>
      </c>
      <c r="G320" s="250">
        <f>SUM(G321:G322)</f>
        <v>1004100</v>
      </c>
    </row>
    <row r="321" spans="1:7" ht="77.25" customHeight="1">
      <c r="A321" s="13" t="s">
        <v>740</v>
      </c>
      <c r="B321" s="248" t="s">
        <v>559</v>
      </c>
      <c r="C321" s="248" t="s">
        <v>539</v>
      </c>
      <c r="D321" s="249" t="s">
        <v>456</v>
      </c>
      <c r="E321" s="248">
        <v>100</v>
      </c>
      <c r="F321" s="202">
        <v>967900</v>
      </c>
      <c r="G321" s="202">
        <v>967900</v>
      </c>
    </row>
    <row r="322" spans="1:7" ht="38.25">
      <c r="A322" s="13" t="s">
        <v>232</v>
      </c>
      <c r="B322" s="248" t="s">
        <v>559</v>
      </c>
      <c r="C322" s="248" t="s">
        <v>539</v>
      </c>
      <c r="D322" s="249" t="s">
        <v>456</v>
      </c>
      <c r="E322" s="248" t="s">
        <v>76</v>
      </c>
      <c r="F322" s="202">
        <v>36200</v>
      </c>
      <c r="G322" s="202">
        <v>36200</v>
      </c>
    </row>
    <row r="323" spans="1:7" ht="76.5">
      <c r="A323" s="266" t="s">
        <v>300</v>
      </c>
      <c r="B323" s="248" t="s">
        <v>559</v>
      </c>
      <c r="C323" s="248" t="s">
        <v>539</v>
      </c>
      <c r="D323" s="248" t="s">
        <v>12</v>
      </c>
      <c r="E323" s="248"/>
      <c r="F323" s="250">
        <f aca="true" t="shared" si="20" ref="F323:G325">F324</f>
        <v>334700</v>
      </c>
      <c r="G323" s="250">
        <f t="shared" si="20"/>
        <v>334700</v>
      </c>
    </row>
    <row r="324" spans="1:7" ht="107.25" customHeight="1">
      <c r="A324" s="461" t="s">
        <v>301</v>
      </c>
      <c r="B324" s="248" t="s">
        <v>559</v>
      </c>
      <c r="C324" s="248" t="s">
        <v>539</v>
      </c>
      <c r="D324" s="248" t="s">
        <v>13</v>
      </c>
      <c r="E324" s="248"/>
      <c r="F324" s="250">
        <f t="shared" si="20"/>
        <v>334700</v>
      </c>
      <c r="G324" s="250">
        <f t="shared" si="20"/>
        <v>334700</v>
      </c>
    </row>
    <row r="325" spans="1:7" ht="51">
      <c r="A325" s="13" t="s">
        <v>290</v>
      </c>
      <c r="B325" s="248" t="s">
        <v>559</v>
      </c>
      <c r="C325" s="248" t="s">
        <v>539</v>
      </c>
      <c r="D325" s="248" t="s">
        <v>279</v>
      </c>
      <c r="E325" s="248"/>
      <c r="F325" s="250">
        <f t="shared" si="20"/>
        <v>334700</v>
      </c>
      <c r="G325" s="250">
        <f t="shared" si="20"/>
        <v>334700</v>
      </c>
    </row>
    <row r="326" spans="1:7" ht="63.75">
      <c r="A326" s="13" t="s">
        <v>111</v>
      </c>
      <c r="B326" s="248" t="s">
        <v>559</v>
      </c>
      <c r="C326" s="248" t="s">
        <v>539</v>
      </c>
      <c r="D326" s="248" t="s">
        <v>291</v>
      </c>
      <c r="E326" s="248"/>
      <c r="F326" s="250">
        <f>SUM(F327:F327)</f>
        <v>334700</v>
      </c>
      <c r="G326" s="250">
        <f>SUM(G327:G327)</f>
        <v>334700</v>
      </c>
    </row>
    <row r="327" spans="1:7" ht="79.5" customHeight="1">
      <c r="A327" s="13" t="s">
        <v>740</v>
      </c>
      <c r="B327" s="248" t="s">
        <v>559</v>
      </c>
      <c r="C327" s="248" t="s">
        <v>539</v>
      </c>
      <c r="D327" s="248" t="s">
        <v>291</v>
      </c>
      <c r="E327" s="248">
        <v>100</v>
      </c>
      <c r="F327" s="202">
        <v>334700</v>
      </c>
      <c r="G327" s="202">
        <v>334700</v>
      </c>
    </row>
    <row r="328" spans="1:7" ht="12.75">
      <c r="A328" s="226" t="s">
        <v>246</v>
      </c>
      <c r="B328" s="224" t="s">
        <v>541</v>
      </c>
      <c r="C328" s="271" t="s">
        <v>466</v>
      </c>
      <c r="D328" s="224" t="s">
        <v>89</v>
      </c>
      <c r="E328" s="224" t="s">
        <v>89</v>
      </c>
      <c r="F328" s="270">
        <f>F329</f>
        <v>50000</v>
      </c>
      <c r="G328" s="270">
        <f>G329</f>
        <v>46935</v>
      </c>
    </row>
    <row r="329" spans="1:7" ht="12.75">
      <c r="A329" s="269" t="s">
        <v>443</v>
      </c>
      <c r="B329" s="268" t="s">
        <v>541</v>
      </c>
      <c r="C329" s="268" t="s">
        <v>537</v>
      </c>
      <c r="D329" s="268" t="s">
        <v>89</v>
      </c>
      <c r="E329" s="268" t="s">
        <v>89</v>
      </c>
      <c r="F329" s="250">
        <f>F330</f>
        <v>50000</v>
      </c>
      <c r="G329" s="250">
        <f>G330</f>
        <v>46935</v>
      </c>
    </row>
    <row r="330" spans="1:7" ht="76.5">
      <c r="A330" s="266" t="s">
        <v>442</v>
      </c>
      <c r="B330" s="248" t="s">
        <v>541</v>
      </c>
      <c r="C330" s="248" t="s">
        <v>537</v>
      </c>
      <c r="D330" s="249" t="s">
        <v>441</v>
      </c>
      <c r="E330" s="264" t="s">
        <v>89</v>
      </c>
      <c r="F330" s="250">
        <f aca="true" t="shared" si="21" ref="F330:G333">F331</f>
        <v>50000</v>
      </c>
      <c r="G330" s="250">
        <f t="shared" si="21"/>
        <v>46935</v>
      </c>
    </row>
    <row r="331" spans="1:7" ht="92.25" customHeight="1">
      <c r="A331" s="12" t="s">
        <v>440</v>
      </c>
      <c r="B331" s="248" t="s">
        <v>541</v>
      </c>
      <c r="C331" s="248" t="s">
        <v>537</v>
      </c>
      <c r="D331" s="249" t="s">
        <v>252</v>
      </c>
      <c r="E331" s="265" t="s">
        <v>89</v>
      </c>
      <c r="F331" s="250">
        <f t="shared" si="21"/>
        <v>50000</v>
      </c>
      <c r="G331" s="250">
        <f t="shared" si="21"/>
        <v>46935</v>
      </c>
    </row>
    <row r="332" spans="1:7" ht="89.25">
      <c r="A332" s="33" t="s">
        <v>251</v>
      </c>
      <c r="B332" s="248" t="s">
        <v>541</v>
      </c>
      <c r="C332" s="248" t="s">
        <v>537</v>
      </c>
      <c r="D332" s="249" t="s">
        <v>250</v>
      </c>
      <c r="E332" s="265"/>
      <c r="F332" s="250">
        <f t="shared" si="21"/>
        <v>50000</v>
      </c>
      <c r="G332" s="250">
        <f t="shared" si="21"/>
        <v>46935</v>
      </c>
    </row>
    <row r="333" spans="1:7" ht="76.5">
      <c r="A333" s="33" t="s">
        <v>249</v>
      </c>
      <c r="B333" s="248" t="s">
        <v>541</v>
      </c>
      <c r="C333" s="248" t="s">
        <v>537</v>
      </c>
      <c r="D333" s="249" t="s">
        <v>248</v>
      </c>
      <c r="E333" s="265"/>
      <c r="F333" s="250">
        <f t="shared" si="21"/>
        <v>50000</v>
      </c>
      <c r="G333" s="250">
        <f t="shared" si="21"/>
        <v>46935</v>
      </c>
    </row>
    <row r="334" spans="1:7" ht="38.25">
      <c r="A334" s="246" t="s">
        <v>232</v>
      </c>
      <c r="B334" s="244" t="s">
        <v>541</v>
      </c>
      <c r="C334" s="244" t="s">
        <v>537</v>
      </c>
      <c r="D334" s="245" t="s">
        <v>248</v>
      </c>
      <c r="E334" s="272">
        <v>200</v>
      </c>
      <c r="F334" s="243">
        <v>50000</v>
      </c>
      <c r="G334" s="243">
        <v>46935</v>
      </c>
    </row>
    <row r="335" spans="1:7" ht="25.5">
      <c r="A335" s="226" t="s">
        <v>77</v>
      </c>
      <c r="B335" s="224" t="s">
        <v>102</v>
      </c>
      <c r="C335" s="271" t="s">
        <v>466</v>
      </c>
      <c r="D335" s="224" t="s">
        <v>89</v>
      </c>
      <c r="E335" s="224" t="s">
        <v>89</v>
      </c>
      <c r="F335" s="270">
        <f aca="true" t="shared" si="22" ref="F335:G340">F336</f>
        <v>55000</v>
      </c>
      <c r="G335" s="270">
        <f t="shared" si="22"/>
        <v>51628</v>
      </c>
    </row>
    <row r="336" spans="1:7" ht="25.5">
      <c r="A336" s="269" t="s">
        <v>78</v>
      </c>
      <c r="B336" s="268" t="s">
        <v>102</v>
      </c>
      <c r="C336" s="268" t="s">
        <v>535</v>
      </c>
      <c r="D336" s="267" t="s">
        <v>89</v>
      </c>
      <c r="E336" s="267" t="s">
        <v>89</v>
      </c>
      <c r="F336" s="250">
        <f t="shared" si="22"/>
        <v>55000</v>
      </c>
      <c r="G336" s="250">
        <f t="shared" si="22"/>
        <v>51628</v>
      </c>
    </row>
    <row r="337" spans="1:7" ht="38.25">
      <c r="A337" s="266" t="s">
        <v>175</v>
      </c>
      <c r="B337" s="248" t="s">
        <v>102</v>
      </c>
      <c r="C337" s="248" t="s">
        <v>535</v>
      </c>
      <c r="D337" s="249" t="s">
        <v>698</v>
      </c>
      <c r="E337" s="264" t="s">
        <v>89</v>
      </c>
      <c r="F337" s="250">
        <f t="shared" si="22"/>
        <v>55000</v>
      </c>
      <c r="G337" s="250">
        <f t="shared" si="22"/>
        <v>51628</v>
      </c>
    </row>
    <row r="338" spans="1:7" ht="69" customHeight="1">
      <c r="A338" s="12" t="s">
        <v>395</v>
      </c>
      <c r="B338" s="248" t="s">
        <v>102</v>
      </c>
      <c r="C338" s="248" t="s">
        <v>535</v>
      </c>
      <c r="D338" s="249" t="s">
        <v>121</v>
      </c>
      <c r="E338" s="265" t="s">
        <v>89</v>
      </c>
      <c r="F338" s="250">
        <f t="shared" si="22"/>
        <v>55000</v>
      </c>
      <c r="G338" s="250">
        <f t="shared" si="22"/>
        <v>51628</v>
      </c>
    </row>
    <row r="339" spans="1:7" ht="76.5">
      <c r="A339" s="28" t="s">
        <v>120</v>
      </c>
      <c r="B339" s="248" t="s">
        <v>102</v>
      </c>
      <c r="C339" s="248" t="s">
        <v>535</v>
      </c>
      <c r="D339" s="249" t="s">
        <v>122</v>
      </c>
      <c r="E339" s="265"/>
      <c r="F339" s="250">
        <f t="shared" si="22"/>
        <v>55000</v>
      </c>
      <c r="G339" s="250">
        <f t="shared" si="22"/>
        <v>51628</v>
      </c>
    </row>
    <row r="340" spans="1:7" ht="12.75">
      <c r="A340" s="33" t="s">
        <v>123</v>
      </c>
      <c r="B340" s="248" t="s">
        <v>102</v>
      </c>
      <c r="C340" s="248" t="s">
        <v>535</v>
      </c>
      <c r="D340" s="249" t="s">
        <v>124</v>
      </c>
      <c r="E340" s="264" t="s">
        <v>89</v>
      </c>
      <c r="F340" s="250">
        <f t="shared" si="22"/>
        <v>55000</v>
      </c>
      <c r="G340" s="250">
        <f t="shared" si="22"/>
        <v>51628</v>
      </c>
    </row>
    <row r="341" spans="1:7" ht="25.5">
      <c r="A341" s="305" t="s">
        <v>497</v>
      </c>
      <c r="B341" s="399" t="s">
        <v>102</v>
      </c>
      <c r="C341" s="399" t="s">
        <v>535</v>
      </c>
      <c r="D341" s="400" t="s">
        <v>124</v>
      </c>
      <c r="E341" s="399" t="s">
        <v>84</v>
      </c>
      <c r="F341" s="306">
        <v>55000</v>
      </c>
      <c r="G341" s="306">
        <v>51628</v>
      </c>
    </row>
    <row r="342" spans="1:7" ht="12.75">
      <c r="A342" s="401" t="s">
        <v>769</v>
      </c>
      <c r="B342" s="402"/>
      <c r="C342" s="402"/>
      <c r="D342" s="403"/>
      <c r="E342" s="404"/>
      <c r="F342" s="405">
        <v>4301916</v>
      </c>
      <c r="G342" s="405">
        <v>9468328</v>
      </c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9900"/>
  </sheetPr>
  <dimension ref="A1:K425"/>
  <sheetViews>
    <sheetView showGridLines="0" zoomScaleSheetLayoutView="100" zoomScalePageLayoutView="0" workbookViewId="0" topLeftCell="A419">
      <selection activeCell="A294" sqref="A294:IV295"/>
    </sheetView>
  </sheetViews>
  <sheetFormatPr defaultColWidth="9.140625" defaultRowHeight="12.75"/>
  <cols>
    <col min="1" max="1" width="48.140625" style="184" customWidth="1"/>
    <col min="2" max="2" width="5.140625" style="184" customWidth="1"/>
    <col min="3" max="4" width="3.8515625" style="184" customWidth="1"/>
    <col min="5" max="5" width="13.28125" style="184" customWidth="1"/>
    <col min="6" max="6" width="4.57421875" style="184" customWidth="1"/>
    <col min="7" max="7" width="14.421875" style="185" customWidth="1"/>
    <col min="8" max="8" width="14.421875" style="184" bestFit="1" customWidth="1"/>
    <col min="9" max="9" width="10.8515625" style="242" customWidth="1"/>
    <col min="10" max="16384" width="9.140625" style="184" customWidth="1"/>
  </cols>
  <sheetData>
    <row r="1" spans="1:9" ht="12.75">
      <c r="A1" s="240"/>
      <c r="B1" s="325"/>
      <c r="C1" s="323"/>
      <c r="D1" s="323"/>
      <c r="E1" s="323"/>
      <c r="F1" s="323"/>
      <c r="G1" s="241" t="s">
        <v>362</v>
      </c>
      <c r="I1" s="184"/>
    </row>
    <row r="2" spans="1:9" ht="12.75">
      <c r="A2" s="240"/>
      <c r="B2" s="325"/>
      <c r="C2" s="323"/>
      <c r="D2" s="323"/>
      <c r="E2" s="323"/>
      <c r="F2" s="323"/>
      <c r="G2" s="48" t="s">
        <v>267</v>
      </c>
      <c r="I2" s="184"/>
    </row>
    <row r="3" spans="1:9" ht="12.75">
      <c r="A3" s="240"/>
      <c r="B3" s="501" t="s">
        <v>943</v>
      </c>
      <c r="C3" s="502"/>
      <c r="D3" s="502"/>
      <c r="E3" s="502"/>
      <c r="F3" s="502"/>
      <c r="G3" s="502"/>
      <c r="I3" s="184"/>
    </row>
    <row r="4" spans="1:9" ht="12.75">
      <c r="A4" s="239"/>
      <c r="B4" s="324"/>
      <c r="C4" s="323"/>
      <c r="D4" s="323"/>
      <c r="E4" s="323"/>
      <c r="F4" s="323"/>
      <c r="G4" s="322"/>
      <c r="I4" s="184"/>
    </row>
    <row r="5" spans="1:9" ht="12.75">
      <c r="A5" s="237" t="s">
        <v>934</v>
      </c>
      <c r="B5" s="321"/>
      <c r="C5" s="321"/>
      <c r="D5" s="321"/>
      <c r="E5" s="321"/>
      <c r="F5" s="321"/>
      <c r="G5" s="236"/>
      <c r="I5" s="184"/>
    </row>
    <row r="6" spans="1:9" ht="12.75">
      <c r="A6" s="235"/>
      <c r="B6" s="320"/>
      <c r="C6" s="320"/>
      <c r="D6" s="320"/>
      <c r="E6" s="320"/>
      <c r="F6" s="320"/>
      <c r="G6" s="234" t="s">
        <v>90</v>
      </c>
      <c r="I6" s="184"/>
    </row>
    <row r="7" spans="1:9" ht="12.75">
      <c r="A7" s="319" t="s">
        <v>86</v>
      </c>
      <c r="B7" s="318" t="s">
        <v>108</v>
      </c>
      <c r="C7" s="318" t="s">
        <v>528</v>
      </c>
      <c r="D7" s="318" t="s">
        <v>529</v>
      </c>
      <c r="E7" s="318" t="s">
        <v>530</v>
      </c>
      <c r="F7" s="318" t="s">
        <v>531</v>
      </c>
      <c r="G7" s="317" t="s">
        <v>294</v>
      </c>
      <c r="I7" s="184"/>
    </row>
    <row r="8" spans="1:9" ht="12.75">
      <c r="A8" s="231" t="s">
        <v>74</v>
      </c>
      <c r="B8" s="231"/>
      <c r="C8" s="231" t="s">
        <v>87</v>
      </c>
      <c r="D8" s="231" t="s">
        <v>75</v>
      </c>
      <c r="E8" s="231" t="s">
        <v>532</v>
      </c>
      <c r="F8" s="231" t="s">
        <v>533</v>
      </c>
      <c r="G8" s="230" t="s">
        <v>534</v>
      </c>
      <c r="H8" s="185"/>
      <c r="I8" s="316"/>
    </row>
    <row r="9" spans="1:11" ht="12.75">
      <c r="A9" s="229" t="s">
        <v>91</v>
      </c>
      <c r="B9" s="229"/>
      <c r="C9" s="228" t="s">
        <v>89</v>
      </c>
      <c r="D9" s="228" t="s">
        <v>89</v>
      </c>
      <c r="E9" s="228" t="s">
        <v>89</v>
      </c>
      <c r="F9" s="228" t="s">
        <v>89</v>
      </c>
      <c r="G9" s="227">
        <f>G10+G190+G334+G417</f>
        <v>540467169.06</v>
      </c>
      <c r="H9" s="315"/>
      <c r="I9" s="97"/>
      <c r="J9" s="97"/>
      <c r="K9" s="97"/>
    </row>
    <row r="10" spans="1:8" ht="12.75">
      <c r="A10" s="263" t="s">
        <v>328</v>
      </c>
      <c r="B10" s="314" t="s">
        <v>579</v>
      </c>
      <c r="C10" s="172"/>
      <c r="D10" s="172"/>
      <c r="E10" s="172"/>
      <c r="F10" s="172"/>
      <c r="G10" s="313">
        <f>G11+G78+G84+G98+G139+G196+G279+G296+G302+G327</f>
        <v>470081817.06</v>
      </c>
      <c r="H10" s="312"/>
    </row>
    <row r="11" spans="1:7" ht="12.75">
      <c r="A11" s="226" t="s">
        <v>598</v>
      </c>
      <c r="B11" s="226"/>
      <c r="C11" s="224" t="s">
        <v>535</v>
      </c>
      <c r="D11" s="225" t="s">
        <v>466</v>
      </c>
      <c r="E11" s="224" t="s">
        <v>89</v>
      </c>
      <c r="F11" s="224" t="s">
        <v>89</v>
      </c>
      <c r="G11" s="223">
        <f>G12+G17+G29+G34+G24</f>
        <v>38300398</v>
      </c>
    </row>
    <row r="12" spans="1:9" ht="38.25">
      <c r="A12" s="269" t="s">
        <v>536</v>
      </c>
      <c r="B12" s="269"/>
      <c r="C12" s="268" t="s">
        <v>535</v>
      </c>
      <c r="D12" s="268" t="s">
        <v>537</v>
      </c>
      <c r="E12" s="268" t="s">
        <v>89</v>
      </c>
      <c r="F12" s="268" t="s">
        <v>89</v>
      </c>
      <c r="G12" s="250">
        <f>G13</f>
        <v>1314352</v>
      </c>
      <c r="I12" s="184"/>
    </row>
    <row r="13" spans="1:9" ht="25.5">
      <c r="A13" s="13" t="s">
        <v>588</v>
      </c>
      <c r="B13" s="13"/>
      <c r="C13" s="248" t="s">
        <v>535</v>
      </c>
      <c r="D13" s="248" t="s">
        <v>537</v>
      </c>
      <c r="E13" s="248" t="s">
        <v>691</v>
      </c>
      <c r="F13" s="248" t="s">
        <v>89</v>
      </c>
      <c r="G13" s="250">
        <f>G14</f>
        <v>1314352</v>
      </c>
      <c r="I13" s="184"/>
    </row>
    <row r="14" spans="1:9" ht="12.75">
      <c r="A14" s="13" t="s">
        <v>361</v>
      </c>
      <c r="B14" s="13"/>
      <c r="C14" s="248" t="s">
        <v>535</v>
      </c>
      <c r="D14" s="248" t="s">
        <v>537</v>
      </c>
      <c r="E14" s="248" t="s">
        <v>692</v>
      </c>
      <c r="F14" s="251" t="s">
        <v>89</v>
      </c>
      <c r="G14" s="250">
        <f>G15</f>
        <v>1314352</v>
      </c>
      <c r="I14" s="184"/>
    </row>
    <row r="15" spans="1:9" ht="25.5">
      <c r="A15" s="251" t="s">
        <v>736</v>
      </c>
      <c r="B15" s="251"/>
      <c r="C15" s="248" t="s">
        <v>535</v>
      </c>
      <c r="D15" s="248" t="s">
        <v>537</v>
      </c>
      <c r="E15" s="248" t="s">
        <v>693</v>
      </c>
      <c r="F15" s="248" t="s">
        <v>89</v>
      </c>
      <c r="G15" s="250">
        <f>G16</f>
        <v>1314352</v>
      </c>
      <c r="I15" s="184"/>
    </row>
    <row r="16" spans="1:9" ht="63.75">
      <c r="A16" s="13" t="s">
        <v>740</v>
      </c>
      <c r="B16" s="13"/>
      <c r="C16" s="248" t="s">
        <v>535</v>
      </c>
      <c r="D16" s="248" t="s">
        <v>537</v>
      </c>
      <c r="E16" s="248" t="s">
        <v>693</v>
      </c>
      <c r="F16" s="248" t="s">
        <v>597</v>
      </c>
      <c r="G16" s="247">
        <v>1314352</v>
      </c>
      <c r="I16" s="184"/>
    </row>
    <row r="17" spans="1:9" ht="51">
      <c r="A17" s="269" t="s">
        <v>726</v>
      </c>
      <c r="B17" s="269"/>
      <c r="C17" s="268" t="s">
        <v>535</v>
      </c>
      <c r="D17" s="268" t="s">
        <v>538</v>
      </c>
      <c r="E17" s="268" t="s">
        <v>89</v>
      </c>
      <c r="F17" s="268" t="s">
        <v>89</v>
      </c>
      <c r="G17" s="250">
        <f>G18</f>
        <v>12186356</v>
      </c>
      <c r="I17" s="184"/>
    </row>
    <row r="18" spans="1:9" ht="25.5">
      <c r="A18" s="13" t="s">
        <v>473</v>
      </c>
      <c r="B18" s="13"/>
      <c r="C18" s="248" t="s">
        <v>535</v>
      </c>
      <c r="D18" s="248" t="s">
        <v>538</v>
      </c>
      <c r="E18" s="248" t="s">
        <v>694</v>
      </c>
      <c r="F18" s="248" t="s">
        <v>89</v>
      </c>
      <c r="G18" s="250">
        <f>G19</f>
        <v>12186356</v>
      </c>
      <c r="I18" s="184"/>
    </row>
    <row r="19" spans="1:9" ht="25.5">
      <c r="A19" s="13" t="s">
        <v>477</v>
      </c>
      <c r="B19" s="13"/>
      <c r="C19" s="248" t="s">
        <v>535</v>
      </c>
      <c r="D19" s="248" t="s">
        <v>538</v>
      </c>
      <c r="E19" s="248" t="s">
        <v>695</v>
      </c>
      <c r="F19" s="251" t="s">
        <v>89</v>
      </c>
      <c r="G19" s="250">
        <f>G20</f>
        <v>12186356</v>
      </c>
      <c r="I19" s="184"/>
    </row>
    <row r="20" spans="1:9" ht="25.5">
      <c r="A20" s="251" t="s">
        <v>736</v>
      </c>
      <c r="B20" s="251"/>
      <c r="C20" s="248" t="s">
        <v>535</v>
      </c>
      <c r="D20" s="248" t="s">
        <v>538</v>
      </c>
      <c r="E20" s="248" t="s">
        <v>697</v>
      </c>
      <c r="F20" s="248" t="s">
        <v>89</v>
      </c>
      <c r="G20" s="250">
        <f>SUM(G21:G23)</f>
        <v>12186356</v>
      </c>
      <c r="I20" s="184"/>
    </row>
    <row r="21" spans="1:9" ht="63.75">
      <c r="A21" s="13" t="s">
        <v>740</v>
      </c>
      <c r="B21" s="13"/>
      <c r="C21" s="248" t="s">
        <v>535</v>
      </c>
      <c r="D21" s="248" t="s">
        <v>538</v>
      </c>
      <c r="E21" s="248" t="s">
        <v>697</v>
      </c>
      <c r="F21" s="248">
        <v>100</v>
      </c>
      <c r="G21" s="247">
        <v>11401730</v>
      </c>
      <c r="I21" s="184"/>
    </row>
    <row r="22" spans="1:9" ht="25.5">
      <c r="A22" s="13" t="s">
        <v>232</v>
      </c>
      <c r="B22" s="13"/>
      <c r="C22" s="248" t="s">
        <v>535</v>
      </c>
      <c r="D22" s="248" t="s">
        <v>538</v>
      </c>
      <c r="E22" s="248" t="s">
        <v>697</v>
      </c>
      <c r="F22" s="248">
        <v>200</v>
      </c>
      <c r="G22" s="247">
        <v>661440</v>
      </c>
      <c r="I22" s="184"/>
    </row>
    <row r="23" spans="1:9" ht="12.75">
      <c r="A23" s="13" t="s">
        <v>79</v>
      </c>
      <c r="B23" s="13"/>
      <c r="C23" s="248" t="s">
        <v>535</v>
      </c>
      <c r="D23" s="248" t="s">
        <v>538</v>
      </c>
      <c r="E23" s="248" t="s">
        <v>697</v>
      </c>
      <c r="F23" s="248">
        <v>800</v>
      </c>
      <c r="G23" s="247">
        <v>123186</v>
      </c>
      <c r="I23" s="184"/>
    </row>
    <row r="24" spans="1:9" ht="12.75">
      <c r="A24" s="388" t="s">
        <v>872</v>
      </c>
      <c r="B24" s="13"/>
      <c r="C24" s="191" t="s">
        <v>535</v>
      </c>
      <c r="D24" s="208" t="s">
        <v>658</v>
      </c>
      <c r="E24" s="191"/>
      <c r="F24" s="191"/>
      <c r="G24" s="247">
        <f>G25</f>
        <v>41201</v>
      </c>
      <c r="I24" s="184"/>
    </row>
    <row r="25" spans="1:9" ht="25.5">
      <c r="A25" s="389" t="s">
        <v>631</v>
      </c>
      <c r="B25" s="13"/>
      <c r="C25" s="191" t="s">
        <v>535</v>
      </c>
      <c r="D25" s="208" t="s">
        <v>658</v>
      </c>
      <c r="E25" s="214" t="s">
        <v>14</v>
      </c>
      <c r="F25" s="213"/>
      <c r="G25" s="247">
        <f>G26</f>
        <v>41201</v>
      </c>
      <c r="I25" s="184"/>
    </row>
    <row r="26" spans="1:9" ht="25.5">
      <c r="A26" s="390" t="s">
        <v>641</v>
      </c>
      <c r="B26" s="13"/>
      <c r="C26" s="191" t="s">
        <v>535</v>
      </c>
      <c r="D26" s="208" t="s">
        <v>658</v>
      </c>
      <c r="E26" s="214" t="s">
        <v>16</v>
      </c>
      <c r="F26" s="213"/>
      <c r="G26" s="247">
        <f>G27</f>
        <v>41201</v>
      </c>
      <c r="I26" s="184"/>
    </row>
    <row r="27" spans="1:9" ht="51">
      <c r="A27" s="390" t="s">
        <v>873</v>
      </c>
      <c r="B27" s="13"/>
      <c r="C27" s="191" t="s">
        <v>535</v>
      </c>
      <c r="D27" s="208" t="s">
        <v>658</v>
      </c>
      <c r="E27" s="214" t="s">
        <v>874</v>
      </c>
      <c r="F27" s="213"/>
      <c r="G27" s="247">
        <f>G28</f>
        <v>41201</v>
      </c>
      <c r="I27" s="184"/>
    </row>
    <row r="28" spans="1:9" ht="25.5">
      <c r="A28" s="388" t="s">
        <v>232</v>
      </c>
      <c r="B28" s="13"/>
      <c r="C28" s="191" t="s">
        <v>535</v>
      </c>
      <c r="D28" s="208" t="s">
        <v>658</v>
      </c>
      <c r="E28" s="214" t="s">
        <v>874</v>
      </c>
      <c r="F28" s="213">
        <v>200</v>
      </c>
      <c r="G28" s="247">
        <v>41201</v>
      </c>
      <c r="I28" s="184"/>
    </row>
    <row r="29" spans="1:9" ht="12.75">
      <c r="A29" s="269" t="s">
        <v>540</v>
      </c>
      <c r="B29" s="269"/>
      <c r="C29" s="268" t="s">
        <v>535</v>
      </c>
      <c r="D29" s="268" t="s">
        <v>541</v>
      </c>
      <c r="E29" s="268" t="s">
        <v>89</v>
      </c>
      <c r="F29" s="268" t="s">
        <v>89</v>
      </c>
      <c r="G29" s="250">
        <f>G30</f>
        <v>100000</v>
      </c>
      <c r="I29" s="184"/>
    </row>
    <row r="30" spans="1:9" ht="25.5">
      <c r="A30" s="13" t="s">
        <v>178</v>
      </c>
      <c r="B30" s="13"/>
      <c r="C30" s="248" t="s">
        <v>535</v>
      </c>
      <c r="D30" s="248" t="s">
        <v>541</v>
      </c>
      <c r="E30" s="248" t="s">
        <v>704</v>
      </c>
      <c r="F30" s="248" t="s">
        <v>89</v>
      </c>
      <c r="G30" s="250">
        <f>G31</f>
        <v>100000</v>
      </c>
      <c r="I30" s="184"/>
    </row>
    <row r="31" spans="1:9" ht="12.75">
      <c r="A31" s="13" t="s">
        <v>540</v>
      </c>
      <c r="B31" s="13"/>
      <c r="C31" s="248" t="s">
        <v>535</v>
      </c>
      <c r="D31" s="248" t="s">
        <v>541</v>
      </c>
      <c r="E31" s="248" t="s">
        <v>705</v>
      </c>
      <c r="F31" s="251" t="s">
        <v>89</v>
      </c>
      <c r="G31" s="250">
        <f>G32</f>
        <v>100000</v>
      </c>
      <c r="I31" s="184"/>
    </row>
    <row r="32" spans="1:9" ht="12.75">
      <c r="A32" s="251" t="s">
        <v>265</v>
      </c>
      <c r="B32" s="251"/>
      <c r="C32" s="248" t="s">
        <v>535</v>
      </c>
      <c r="D32" s="248" t="s">
        <v>541</v>
      </c>
      <c r="E32" s="248" t="s">
        <v>226</v>
      </c>
      <c r="F32" s="264" t="s">
        <v>89</v>
      </c>
      <c r="G32" s="250">
        <f>G33</f>
        <v>100000</v>
      </c>
      <c r="I32" s="184"/>
    </row>
    <row r="33" spans="1:9" ht="12.75">
      <c r="A33" s="13" t="s">
        <v>79</v>
      </c>
      <c r="B33" s="13"/>
      <c r="C33" s="248" t="s">
        <v>535</v>
      </c>
      <c r="D33" s="248" t="s">
        <v>541</v>
      </c>
      <c r="E33" s="248" t="s">
        <v>226</v>
      </c>
      <c r="F33" s="248" t="s">
        <v>80</v>
      </c>
      <c r="G33" s="247">
        <v>100000</v>
      </c>
      <c r="I33" s="184"/>
    </row>
    <row r="34" spans="1:9" ht="12.75">
      <c r="A34" s="269" t="s">
        <v>475</v>
      </c>
      <c r="B34" s="269"/>
      <c r="C34" s="268" t="s">
        <v>535</v>
      </c>
      <c r="D34" s="268" t="s">
        <v>102</v>
      </c>
      <c r="E34" s="268" t="s">
        <v>89</v>
      </c>
      <c r="F34" s="268" t="s">
        <v>89</v>
      </c>
      <c r="G34" s="250">
        <f>G35+G41+G48+G58+G62+G53</f>
        <v>24658489</v>
      </c>
      <c r="I34" s="184"/>
    </row>
    <row r="35" spans="1:9" ht="51">
      <c r="A35" s="222" t="s">
        <v>716</v>
      </c>
      <c r="B35" s="311"/>
      <c r="C35" s="248" t="s">
        <v>535</v>
      </c>
      <c r="D35" s="248" t="s">
        <v>102</v>
      </c>
      <c r="E35" s="249" t="s">
        <v>8</v>
      </c>
      <c r="F35" s="248" t="s">
        <v>89</v>
      </c>
      <c r="G35" s="250">
        <f>G36</f>
        <v>996480</v>
      </c>
      <c r="I35" s="184"/>
    </row>
    <row r="36" spans="1:9" ht="38.25">
      <c r="A36" s="275" t="s">
        <v>480</v>
      </c>
      <c r="B36" s="275"/>
      <c r="C36" s="248" t="s">
        <v>535</v>
      </c>
      <c r="D36" s="248" t="s">
        <v>102</v>
      </c>
      <c r="E36" s="249" t="s">
        <v>9</v>
      </c>
      <c r="F36" s="264" t="s">
        <v>89</v>
      </c>
      <c r="G36" s="250">
        <f>G37</f>
        <v>996480</v>
      </c>
      <c r="I36" s="184"/>
    </row>
    <row r="37" spans="1:10" ht="51">
      <c r="A37" s="18" t="s">
        <v>39</v>
      </c>
      <c r="B37" s="18"/>
      <c r="C37" s="248" t="s">
        <v>535</v>
      </c>
      <c r="D37" s="248" t="s">
        <v>102</v>
      </c>
      <c r="E37" s="249" t="s">
        <v>10</v>
      </c>
      <c r="F37" s="264"/>
      <c r="G37" s="250">
        <f>G38</f>
        <v>996480</v>
      </c>
      <c r="I37" s="184"/>
      <c r="J37" s="184" t="s">
        <v>284</v>
      </c>
    </row>
    <row r="38" spans="1:9" ht="12.75">
      <c r="A38" s="251" t="s">
        <v>287</v>
      </c>
      <c r="B38" s="251"/>
      <c r="C38" s="248" t="s">
        <v>535</v>
      </c>
      <c r="D38" s="248" t="s">
        <v>102</v>
      </c>
      <c r="E38" s="249" t="s">
        <v>11</v>
      </c>
      <c r="F38" s="264" t="s">
        <v>89</v>
      </c>
      <c r="G38" s="250">
        <f>SUM(G39:G40)</f>
        <v>996480</v>
      </c>
      <c r="I38" s="184"/>
    </row>
    <row r="39" spans="1:9" ht="25.5">
      <c r="A39" s="13" t="s">
        <v>232</v>
      </c>
      <c r="B39" s="13"/>
      <c r="C39" s="248" t="s">
        <v>535</v>
      </c>
      <c r="D39" s="248" t="s">
        <v>102</v>
      </c>
      <c r="E39" s="249" t="s">
        <v>11</v>
      </c>
      <c r="F39" s="248" t="s">
        <v>76</v>
      </c>
      <c r="G39" s="247">
        <v>537500</v>
      </c>
      <c r="I39" s="184"/>
    </row>
    <row r="40" spans="1:9" ht="12.75">
      <c r="A40" s="13" t="s">
        <v>79</v>
      </c>
      <c r="B40" s="13"/>
      <c r="C40" s="248" t="s">
        <v>535</v>
      </c>
      <c r="D40" s="248" t="s">
        <v>102</v>
      </c>
      <c r="E40" s="249" t="s">
        <v>11</v>
      </c>
      <c r="F40" s="248">
        <v>800</v>
      </c>
      <c r="G40" s="247">
        <v>458980</v>
      </c>
      <c r="I40" s="184"/>
    </row>
    <row r="41" spans="1:9" ht="63.75">
      <c r="A41" s="266" t="s">
        <v>300</v>
      </c>
      <c r="B41" s="266"/>
      <c r="C41" s="248" t="s">
        <v>535</v>
      </c>
      <c r="D41" s="248" t="s">
        <v>102</v>
      </c>
      <c r="E41" s="248" t="s">
        <v>12</v>
      </c>
      <c r="F41" s="248"/>
      <c r="G41" s="250">
        <f>G42</f>
        <v>50000</v>
      </c>
      <c r="I41" s="184"/>
    </row>
    <row r="42" spans="1:9" ht="76.5">
      <c r="A42" s="12" t="s">
        <v>301</v>
      </c>
      <c r="B42" s="12"/>
      <c r="C42" s="248" t="s">
        <v>535</v>
      </c>
      <c r="D42" s="248" t="s">
        <v>102</v>
      </c>
      <c r="E42" s="248" t="s">
        <v>13</v>
      </c>
      <c r="F42" s="248"/>
      <c r="G42" s="250">
        <f>G43</f>
        <v>50000</v>
      </c>
      <c r="I42" s="184"/>
    </row>
    <row r="43" spans="1:9" ht="38.25">
      <c r="A43" s="78" t="s">
        <v>288</v>
      </c>
      <c r="B43" s="12"/>
      <c r="C43" s="76" t="s">
        <v>535</v>
      </c>
      <c r="D43" s="76" t="s">
        <v>102</v>
      </c>
      <c r="E43" s="76" t="s">
        <v>112</v>
      </c>
      <c r="F43" s="76"/>
      <c r="G43" s="80">
        <f>G44</f>
        <v>50000</v>
      </c>
      <c r="I43" s="184"/>
    </row>
    <row r="44" spans="1:9" ht="36">
      <c r="A44" s="23" t="s">
        <v>275</v>
      </c>
      <c r="B44" s="12"/>
      <c r="C44" s="76" t="s">
        <v>535</v>
      </c>
      <c r="D44" s="76" t="s">
        <v>102</v>
      </c>
      <c r="E44" s="76" t="s">
        <v>289</v>
      </c>
      <c r="F44" s="76"/>
      <c r="G44" s="80">
        <f>G45</f>
        <v>50000</v>
      </c>
      <c r="I44" s="184"/>
    </row>
    <row r="45" spans="1:9" ht="25.5">
      <c r="A45" s="78" t="s">
        <v>232</v>
      </c>
      <c r="B45" s="12"/>
      <c r="C45" s="76" t="s">
        <v>535</v>
      </c>
      <c r="D45" s="76" t="s">
        <v>102</v>
      </c>
      <c r="E45" s="76" t="s">
        <v>289</v>
      </c>
      <c r="F45" s="76">
        <v>200</v>
      </c>
      <c r="G45" s="80">
        <v>50000</v>
      </c>
      <c r="I45" s="184"/>
    </row>
    <row r="46" spans="1:9" ht="36" hidden="1">
      <c r="A46" s="23" t="s">
        <v>275</v>
      </c>
      <c r="B46" s="23"/>
      <c r="C46" s="248" t="s">
        <v>535</v>
      </c>
      <c r="D46" s="248" t="s">
        <v>102</v>
      </c>
      <c r="E46" s="248" t="s">
        <v>276</v>
      </c>
      <c r="F46" s="248"/>
      <c r="G46" s="250">
        <f>G47</f>
        <v>0</v>
      </c>
      <c r="I46" s="184"/>
    </row>
    <row r="47" spans="1:9" ht="25.5" hidden="1">
      <c r="A47" s="13" t="s">
        <v>232</v>
      </c>
      <c r="B47" s="13"/>
      <c r="C47" s="248" t="s">
        <v>535</v>
      </c>
      <c r="D47" s="248" t="s">
        <v>102</v>
      </c>
      <c r="E47" s="248" t="s">
        <v>276</v>
      </c>
      <c r="F47" s="248">
        <v>200</v>
      </c>
      <c r="G47" s="247"/>
      <c r="I47" s="184"/>
    </row>
    <row r="48" spans="1:9" ht="51">
      <c r="A48" s="266" t="s">
        <v>718</v>
      </c>
      <c r="B48" s="266"/>
      <c r="C48" s="248" t="s">
        <v>535</v>
      </c>
      <c r="D48" s="248" t="s">
        <v>102</v>
      </c>
      <c r="E48" s="248" t="s">
        <v>113</v>
      </c>
      <c r="F48" s="248"/>
      <c r="G48" s="250">
        <f>G49</f>
        <v>30000</v>
      </c>
      <c r="I48" s="184"/>
    </row>
    <row r="49" spans="1:9" ht="63.75">
      <c r="A49" s="12" t="s">
        <v>719</v>
      </c>
      <c r="B49" s="12"/>
      <c r="C49" s="248" t="s">
        <v>535</v>
      </c>
      <c r="D49" s="248" t="s">
        <v>102</v>
      </c>
      <c r="E49" s="248" t="s">
        <v>114</v>
      </c>
      <c r="F49" s="248"/>
      <c r="G49" s="250">
        <f>G50</f>
        <v>30000</v>
      </c>
      <c r="I49" s="184"/>
    </row>
    <row r="50" spans="1:9" ht="38.25">
      <c r="A50" s="13" t="s">
        <v>115</v>
      </c>
      <c r="B50" s="13"/>
      <c r="C50" s="248" t="s">
        <v>535</v>
      </c>
      <c r="D50" s="248" t="s">
        <v>102</v>
      </c>
      <c r="E50" s="248" t="s">
        <v>116</v>
      </c>
      <c r="F50" s="248"/>
      <c r="G50" s="250">
        <f>G51</f>
        <v>30000</v>
      </c>
      <c r="I50" s="184"/>
    </row>
    <row r="51" spans="1:9" ht="38.25">
      <c r="A51" s="13" t="s">
        <v>118</v>
      </c>
      <c r="B51" s="13"/>
      <c r="C51" s="248" t="s">
        <v>535</v>
      </c>
      <c r="D51" s="248" t="s">
        <v>102</v>
      </c>
      <c r="E51" s="248" t="s">
        <v>117</v>
      </c>
      <c r="F51" s="248"/>
      <c r="G51" s="250">
        <f>G52</f>
        <v>30000</v>
      </c>
      <c r="I51" s="184"/>
    </row>
    <row r="52" spans="1:9" ht="25.5">
      <c r="A52" s="13" t="s">
        <v>232</v>
      </c>
      <c r="B52" s="13"/>
      <c r="C52" s="248" t="s">
        <v>535</v>
      </c>
      <c r="D52" s="248" t="s">
        <v>102</v>
      </c>
      <c r="E52" s="248" t="s">
        <v>117</v>
      </c>
      <c r="F52" s="248">
        <v>200</v>
      </c>
      <c r="G52" s="247">
        <v>30000</v>
      </c>
      <c r="I52" s="184"/>
    </row>
    <row r="53" spans="1:9" ht="25.5">
      <c r="A53" s="203" t="s">
        <v>473</v>
      </c>
      <c r="B53" s="191"/>
      <c r="C53" s="191" t="s">
        <v>535</v>
      </c>
      <c r="D53" s="191" t="s">
        <v>102</v>
      </c>
      <c r="E53" s="191" t="s">
        <v>694</v>
      </c>
      <c r="F53" s="191"/>
      <c r="G53" s="202">
        <f>G54</f>
        <v>334700</v>
      </c>
      <c r="I53" s="184"/>
    </row>
    <row r="54" spans="1:9" ht="25.5">
      <c r="A54" s="203" t="s">
        <v>477</v>
      </c>
      <c r="B54" s="191"/>
      <c r="C54" s="191" t="s">
        <v>535</v>
      </c>
      <c r="D54" s="191" t="s">
        <v>102</v>
      </c>
      <c r="E54" s="191" t="s">
        <v>695</v>
      </c>
      <c r="F54" s="191"/>
      <c r="G54" s="202">
        <f>G55</f>
        <v>334700</v>
      </c>
      <c r="I54" s="184"/>
    </row>
    <row r="55" spans="1:9" ht="38.25">
      <c r="A55" s="203" t="s">
        <v>297</v>
      </c>
      <c r="B55" s="203"/>
      <c r="C55" s="191" t="s">
        <v>535</v>
      </c>
      <c r="D55" s="191" t="s">
        <v>102</v>
      </c>
      <c r="E55" s="191" t="s">
        <v>696</v>
      </c>
      <c r="F55" s="193"/>
      <c r="G55" s="190">
        <f>SUM(G56:G57)</f>
        <v>334700</v>
      </c>
      <c r="I55" s="184"/>
    </row>
    <row r="56" spans="1:9" ht="63.75">
      <c r="A56" s="203" t="s">
        <v>740</v>
      </c>
      <c r="B56" s="203"/>
      <c r="C56" s="191" t="s">
        <v>535</v>
      </c>
      <c r="D56" s="191" t="s">
        <v>102</v>
      </c>
      <c r="E56" s="191" t="s">
        <v>696</v>
      </c>
      <c r="F56" s="193">
        <v>100</v>
      </c>
      <c r="G56" s="202">
        <v>300582</v>
      </c>
      <c r="I56" s="184"/>
    </row>
    <row r="57" spans="1:9" ht="25.5">
      <c r="A57" s="203" t="s">
        <v>232</v>
      </c>
      <c r="B57" s="203"/>
      <c r="C57" s="191" t="s">
        <v>535</v>
      </c>
      <c r="D57" s="191" t="s">
        <v>102</v>
      </c>
      <c r="E57" s="191" t="s">
        <v>696</v>
      </c>
      <c r="F57" s="193">
        <v>200</v>
      </c>
      <c r="G57" s="202">
        <v>34118</v>
      </c>
      <c r="I57" s="184"/>
    </row>
    <row r="58" spans="1:9" ht="25.5">
      <c r="A58" s="13" t="s">
        <v>525</v>
      </c>
      <c r="B58" s="13"/>
      <c r="C58" s="248" t="s">
        <v>535</v>
      </c>
      <c r="D58" s="248" t="s">
        <v>102</v>
      </c>
      <c r="E58" s="249" t="s">
        <v>524</v>
      </c>
      <c r="F58" s="248"/>
      <c r="G58" s="250">
        <f>G59</f>
        <v>59900</v>
      </c>
      <c r="I58" s="184"/>
    </row>
    <row r="59" spans="1:9" ht="12.75">
      <c r="A59" s="12" t="s">
        <v>523</v>
      </c>
      <c r="B59" s="12"/>
      <c r="C59" s="248" t="s">
        <v>535</v>
      </c>
      <c r="D59" s="248" t="s">
        <v>102</v>
      </c>
      <c r="E59" s="249" t="s">
        <v>522</v>
      </c>
      <c r="F59" s="248"/>
      <c r="G59" s="250">
        <f>G60</f>
        <v>59900</v>
      </c>
      <c r="I59" s="184"/>
    </row>
    <row r="60" spans="1:9" ht="25.5">
      <c r="A60" s="251" t="s">
        <v>38</v>
      </c>
      <c r="B60" s="251"/>
      <c r="C60" s="248" t="s">
        <v>535</v>
      </c>
      <c r="D60" s="248" t="s">
        <v>102</v>
      </c>
      <c r="E60" s="249" t="s">
        <v>721</v>
      </c>
      <c r="F60" s="248"/>
      <c r="G60" s="250">
        <f>G61</f>
        <v>59900</v>
      </c>
      <c r="I60" s="184"/>
    </row>
    <row r="61" spans="1:9" ht="12.75">
      <c r="A61" s="13" t="s">
        <v>79</v>
      </c>
      <c r="B61" s="13"/>
      <c r="C61" s="248" t="s">
        <v>535</v>
      </c>
      <c r="D61" s="248" t="s">
        <v>102</v>
      </c>
      <c r="E61" s="249" t="s">
        <v>721</v>
      </c>
      <c r="F61" s="248">
        <v>800</v>
      </c>
      <c r="G61" s="247">
        <v>59900</v>
      </c>
      <c r="I61" s="184"/>
    </row>
    <row r="62" spans="1:9" ht="25.5">
      <c r="A62" s="266" t="s">
        <v>631</v>
      </c>
      <c r="B62" s="266"/>
      <c r="C62" s="248" t="s">
        <v>535</v>
      </c>
      <c r="D62" s="248" t="s">
        <v>102</v>
      </c>
      <c r="E62" s="249" t="s">
        <v>14</v>
      </c>
      <c r="F62" s="264" t="s">
        <v>89</v>
      </c>
      <c r="G62" s="250">
        <f>G63</f>
        <v>23187409</v>
      </c>
      <c r="I62" s="184"/>
    </row>
    <row r="63" spans="1:9" ht="25.5">
      <c r="A63" s="12" t="s">
        <v>641</v>
      </c>
      <c r="B63" s="12"/>
      <c r="C63" s="248" t="s">
        <v>535</v>
      </c>
      <c r="D63" s="248" t="s">
        <v>102</v>
      </c>
      <c r="E63" s="252" t="s">
        <v>16</v>
      </c>
      <c r="F63" s="265" t="s">
        <v>89</v>
      </c>
      <c r="G63" s="250">
        <f>G64+G68+G71+G73+G76</f>
        <v>23187409</v>
      </c>
      <c r="I63" s="184"/>
    </row>
    <row r="64" spans="1:9" ht="25.5">
      <c r="A64" s="251" t="s">
        <v>498</v>
      </c>
      <c r="B64" s="251"/>
      <c r="C64" s="248" t="s">
        <v>535</v>
      </c>
      <c r="D64" s="248" t="s">
        <v>102</v>
      </c>
      <c r="E64" s="249" t="s">
        <v>18</v>
      </c>
      <c r="F64" s="264" t="s">
        <v>89</v>
      </c>
      <c r="G64" s="250">
        <f>SUM(G65:G67)</f>
        <v>21547492</v>
      </c>
      <c r="I64" s="184"/>
    </row>
    <row r="65" spans="1:9" ht="63.75">
      <c r="A65" s="13" t="s">
        <v>740</v>
      </c>
      <c r="B65" s="13"/>
      <c r="C65" s="248" t="s">
        <v>535</v>
      </c>
      <c r="D65" s="248" t="s">
        <v>102</v>
      </c>
      <c r="E65" s="249" t="s">
        <v>18</v>
      </c>
      <c r="F65" s="248" t="s">
        <v>597</v>
      </c>
      <c r="G65" s="247">
        <v>20566245</v>
      </c>
      <c r="I65" s="184"/>
    </row>
    <row r="66" spans="1:9" ht="25.5">
      <c r="A66" s="13" t="s">
        <v>232</v>
      </c>
      <c r="B66" s="13"/>
      <c r="C66" s="248" t="s">
        <v>535</v>
      </c>
      <c r="D66" s="248" t="s">
        <v>102</v>
      </c>
      <c r="E66" s="249" t="s">
        <v>18</v>
      </c>
      <c r="F66" s="248" t="s">
        <v>76</v>
      </c>
      <c r="G66" s="247">
        <v>934400</v>
      </c>
      <c r="I66" s="184"/>
    </row>
    <row r="67" spans="1:9" ht="12.75">
      <c r="A67" s="13" t="s">
        <v>79</v>
      </c>
      <c r="B67" s="13"/>
      <c r="C67" s="248" t="s">
        <v>535</v>
      </c>
      <c r="D67" s="248" t="s">
        <v>102</v>
      </c>
      <c r="E67" s="249" t="s">
        <v>18</v>
      </c>
      <c r="F67" s="248" t="s">
        <v>80</v>
      </c>
      <c r="G67" s="247">
        <v>46847</v>
      </c>
      <c r="I67" s="184"/>
    </row>
    <row r="68" spans="1:9" ht="25.5">
      <c r="A68" s="251" t="s">
        <v>38</v>
      </c>
      <c r="B68" s="13"/>
      <c r="C68" s="248" t="s">
        <v>535</v>
      </c>
      <c r="D68" s="248" t="s">
        <v>102</v>
      </c>
      <c r="E68" s="249" t="s">
        <v>345</v>
      </c>
      <c r="F68" s="248"/>
      <c r="G68" s="247">
        <f>G70+G69</f>
        <v>1182567</v>
      </c>
      <c r="I68" s="184"/>
    </row>
    <row r="69" spans="1:9" ht="25.5">
      <c r="A69" s="193" t="s">
        <v>83</v>
      </c>
      <c r="B69" s="13"/>
      <c r="C69" s="191" t="s">
        <v>535</v>
      </c>
      <c r="D69" s="191" t="s">
        <v>102</v>
      </c>
      <c r="E69" s="192" t="s">
        <v>345</v>
      </c>
      <c r="F69" s="191">
        <v>300</v>
      </c>
      <c r="G69" s="247"/>
      <c r="I69" s="184"/>
    </row>
    <row r="70" spans="1:9" ht="12.75">
      <c r="A70" s="13" t="s">
        <v>79</v>
      </c>
      <c r="B70" s="13"/>
      <c r="C70" s="248" t="s">
        <v>535</v>
      </c>
      <c r="D70" s="248" t="s">
        <v>102</v>
      </c>
      <c r="E70" s="249" t="s">
        <v>345</v>
      </c>
      <c r="F70" s="248">
        <v>800</v>
      </c>
      <c r="G70" s="247">
        <v>1182567</v>
      </c>
      <c r="I70" s="184"/>
    </row>
    <row r="71" spans="1:9" ht="25.5">
      <c r="A71" s="251" t="s">
        <v>468</v>
      </c>
      <c r="B71" s="251"/>
      <c r="C71" s="248" t="s">
        <v>535</v>
      </c>
      <c r="D71" s="248" t="s">
        <v>102</v>
      </c>
      <c r="E71" s="249" t="s">
        <v>19</v>
      </c>
      <c r="F71" s="264" t="s">
        <v>89</v>
      </c>
      <c r="G71" s="250">
        <f>G72</f>
        <v>290000</v>
      </c>
      <c r="I71" s="184"/>
    </row>
    <row r="72" spans="1:9" ht="25.5">
      <c r="A72" s="13" t="s">
        <v>232</v>
      </c>
      <c r="B72" s="13"/>
      <c r="C72" s="248" t="s">
        <v>535</v>
      </c>
      <c r="D72" s="248" t="s">
        <v>102</v>
      </c>
      <c r="E72" s="249" t="s">
        <v>19</v>
      </c>
      <c r="F72" s="249">
        <v>200</v>
      </c>
      <c r="G72" s="247">
        <v>290000</v>
      </c>
      <c r="I72" s="184"/>
    </row>
    <row r="73" spans="1:9" ht="63.75">
      <c r="A73" s="27" t="s">
        <v>772</v>
      </c>
      <c r="B73" s="27"/>
      <c r="C73" s="248" t="s">
        <v>535</v>
      </c>
      <c r="D73" s="248" t="s">
        <v>102</v>
      </c>
      <c r="E73" s="249" t="s">
        <v>48</v>
      </c>
      <c r="F73" s="249"/>
      <c r="G73" s="250">
        <f>SUM(G74:G75)</f>
        <v>167350</v>
      </c>
      <c r="I73" s="184"/>
    </row>
    <row r="74" spans="1:9" ht="63.75">
      <c r="A74" s="13" t="s">
        <v>740</v>
      </c>
      <c r="B74" s="13"/>
      <c r="C74" s="248" t="s">
        <v>535</v>
      </c>
      <c r="D74" s="248" t="s">
        <v>102</v>
      </c>
      <c r="E74" s="249" t="s">
        <v>48</v>
      </c>
      <c r="F74" s="249">
        <v>100</v>
      </c>
      <c r="G74" s="247">
        <v>124992</v>
      </c>
      <c r="I74" s="184"/>
    </row>
    <row r="75" spans="1:9" ht="25.5">
      <c r="A75" s="310" t="s">
        <v>232</v>
      </c>
      <c r="B75" s="310"/>
      <c r="C75" s="309" t="s">
        <v>535</v>
      </c>
      <c r="D75" s="309" t="s">
        <v>102</v>
      </c>
      <c r="E75" s="308" t="s">
        <v>48</v>
      </c>
      <c r="F75" s="308">
        <v>200</v>
      </c>
      <c r="G75" s="307">
        <v>42358</v>
      </c>
      <c r="I75" s="184"/>
    </row>
    <row r="76" spans="1:9" ht="25.5">
      <c r="A76" s="221" t="s">
        <v>821</v>
      </c>
      <c r="B76" s="305"/>
      <c r="C76" s="191" t="s">
        <v>535</v>
      </c>
      <c r="D76" s="191" t="s">
        <v>102</v>
      </c>
      <c r="E76" s="188" t="s">
        <v>820</v>
      </c>
      <c r="F76" s="220"/>
      <c r="G76" s="306">
        <f>G77</f>
        <v>0</v>
      </c>
      <c r="I76" s="184"/>
    </row>
    <row r="77" spans="1:9" ht="25.5">
      <c r="A77" s="189" t="s">
        <v>232</v>
      </c>
      <c r="B77" s="305"/>
      <c r="C77" s="187" t="s">
        <v>535</v>
      </c>
      <c r="D77" s="187" t="s">
        <v>102</v>
      </c>
      <c r="E77" s="188" t="s">
        <v>820</v>
      </c>
      <c r="F77" s="188">
        <v>200</v>
      </c>
      <c r="G77" s="306"/>
      <c r="I77" s="184"/>
    </row>
    <row r="78" spans="1:9" ht="12.75">
      <c r="A78" s="304" t="s">
        <v>527</v>
      </c>
      <c r="B78" s="304"/>
      <c r="C78" s="302" t="s">
        <v>537</v>
      </c>
      <c r="D78" s="303" t="s">
        <v>466</v>
      </c>
      <c r="E78" s="302" t="s">
        <v>89</v>
      </c>
      <c r="F78" s="302" t="s">
        <v>89</v>
      </c>
      <c r="G78" s="301">
        <f>G79</f>
        <v>16200</v>
      </c>
      <c r="I78" s="184"/>
    </row>
    <row r="79" spans="1:9" ht="12.75">
      <c r="A79" s="269" t="s">
        <v>526</v>
      </c>
      <c r="B79" s="269"/>
      <c r="C79" s="268" t="s">
        <v>537</v>
      </c>
      <c r="D79" s="268" t="s">
        <v>538</v>
      </c>
      <c r="E79" s="267" t="s">
        <v>89</v>
      </c>
      <c r="F79" s="267" t="s">
        <v>89</v>
      </c>
      <c r="G79" s="250">
        <f>G80</f>
        <v>16200</v>
      </c>
      <c r="I79" s="184"/>
    </row>
    <row r="80" spans="1:9" ht="25.5">
      <c r="A80" s="13" t="s">
        <v>525</v>
      </c>
      <c r="B80" s="13"/>
      <c r="C80" s="248" t="s">
        <v>537</v>
      </c>
      <c r="D80" s="248" t="s">
        <v>538</v>
      </c>
      <c r="E80" s="249" t="s">
        <v>524</v>
      </c>
      <c r="F80" s="264" t="s">
        <v>89</v>
      </c>
      <c r="G80" s="250">
        <f>G81</f>
        <v>16200</v>
      </c>
      <c r="I80" s="184"/>
    </row>
    <row r="81" spans="1:9" ht="12.75">
      <c r="A81" s="13" t="s">
        <v>523</v>
      </c>
      <c r="B81" s="13"/>
      <c r="C81" s="248" t="s">
        <v>537</v>
      </c>
      <c r="D81" s="248" t="s">
        <v>538</v>
      </c>
      <c r="E81" s="249" t="s">
        <v>522</v>
      </c>
      <c r="F81" s="264"/>
      <c r="G81" s="250">
        <f>G82</f>
        <v>16200</v>
      </c>
      <c r="I81" s="184"/>
    </row>
    <row r="82" spans="1:9" ht="25.5">
      <c r="A82" s="20" t="s">
        <v>521</v>
      </c>
      <c r="B82" s="20"/>
      <c r="C82" s="248" t="s">
        <v>537</v>
      </c>
      <c r="D82" s="248" t="s">
        <v>538</v>
      </c>
      <c r="E82" s="249" t="s">
        <v>520</v>
      </c>
      <c r="F82" s="265" t="s">
        <v>89</v>
      </c>
      <c r="G82" s="250">
        <f>G83</f>
        <v>16200</v>
      </c>
      <c r="I82" s="184"/>
    </row>
    <row r="83" spans="1:9" ht="25.5">
      <c r="A83" s="246" t="s">
        <v>93</v>
      </c>
      <c r="B83" s="246"/>
      <c r="C83" s="244" t="s">
        <v>537</v>
      </c>
      <c r="D83" s="244" t="s">
        <v>538</v>
      </c>
      <c r="E83" s="245" t="s">
        <v>520</v>
      </c>
      <c r="F83" s="244">
        <v>200</v>
      </c>
      <c r="G83" s="243">
        <v>16200</v>
      </c>
      <c r="I83" s="184"/>
    </row>
    <row r="84" spans="1:9" ht="25.5">
      <c r="A84" s="226" t="s">
        <v>476</v>
      </c>
      <c r="B84" s="226"/>
      <c r="C84" s="224" t="s">
        <v>103</v>
      </c>
      <c r="D84" s="271" t="s">
        <v>466</v>
      </c>
      <c r="E84" s="224" t="s">
        <v>89</v>
      </c>
      <c r="F84" s="224" t="s">
        <v>89</v>
      </c>
      <c r="G84" s="223">
        <f>G85</f>
        <v>2681401</v>
      </c>
      <c r="I84" s="184"/>
    </row>
    <row r="85" spans="1:9" ht="38.25">
      <c r="A85" s="269" t="s">
        <v>485</v>
      </c>
      <c r="B85" s="269"/>
      <c r="C85" s="268" t="s">
        <v>103</v>
      </c>
      <c r="D85" s="268">
        <v>10</v>
      </c>
      <c r="E85" s="268" t="s">
        <v>89</v>
      </c>
      <c r="F85" s="268" t="s">
        <v>89</v>
      </c>
      <c r="G85" s="250">
        <f>G86</f>
        <v>2681401</v>
      </c>
      <c r="I85" s="184"/>
    </row>
    <row r="86" spans="1:9" ht="51">
      <c r="A86" s="266" t="s">
        <v>486</v>
      </c>
      <c r="B86" s="266"/>
      <c r="C86" s="248" t="s">
        <v>103</v>
      </c>
      <c r="D86" s="248">
        <v>10</v>
      </c>
      <c r="E86" s="249" t="s">
        <v>20</v>
      </c>
      <c r="F86" s="248" t="s">
        <v>89</v>
      </c>
      <c r="G86" s="250">
        <f>G87</f>
        <v>2681401</v>
      </c>
      <c r="I86" s="184"/>
    </row>
    <row r="87" spans="1:9" ht="89.25">
      <c r="A87" s="24" t="s">
        <v>298</v>
      </c>
      <c r="B87" s="24"/>
      <c r="C87" s="248" t="s">
        <v>103</v>
      </c>
      <c r="D87" s="248">
        <v>10</v>
      </c>
      <c r="E87" s="249" t="s">
        <v>894</v>
      </c>
      <c r="F87" s="248"/>
      <c r="G87" s="250">
        <f>G88+G93</f>
        <v>2681401</v>
      </c>
      <c r="I87" s="184"/>
    </row>
    <row r="88" spans="1:9" ht="69.75" customHeight="1">
      <c r="A88" s="17" t="s">
        <v>263</v>
      </c>
      <c r="B88" s="17"/>
      <c r="C88" s="248" t="s">
        <v>103</v>
      </c>
      <c r="D88" s="248">
        <v>10</v>
      </c>
      <c r="E88" s="249" t="s">
        <v>951</v>
      </c>
      <c r="F88" s="248"/>
      <c r="G88" s="250">
        <f>G89+G96</f>
        <v>2581401</v>
      </c>
      <c r="I88" s="184"/>
    </row>
    <row r="89" spans="1:9" ht="24" customHeight="1">
      <c r="A89" s="251" t="s">
        <v>498</v>
      </c>
      <c r="B89" s="251"/>
      <c r="C89" s="248" t="s">
        <v>103</v>
      </c>
      <c r="D89" s="248">
        <v>10</v>
      </c>
      <c r="E89" s="249" t="s">
        <v>946</v>
      </c>
      <c r="F89" s="248" t="s">
        <v>89</v>
      </c>
      <c r="G89" s="250">
        <f>SUM(G90:G92)</f>
        <v>2581401</v>
      </c>
      <c r="I89" s="184"/>
    </row>
    <row r="90" spans="1:9" ht="63.75">
      <c r="A90" s="13" t="s">
        <v>740</v>
      </c>
      <c r="B90" s="13"/>
      <c r="C90" s="248" t="s">
        <v>103</v>
      </c>
      <c r="D90" s="248">
        <v>10</v>
      </c>
      <c r="E90" s="249" t="s">
        <v>946</v>
      </c>
      <c r="F90" s="248" t="s">
        <v>597</v>
      </c>
      <c r="G90" s="247">
        <v>2421686</v>
      </c>
      <c r="I90" s="184"/>
    </row>
    <row r="91" spans="1:9" ht="25.5">
      <c r="A91" s="13" t="s">
        <v>232</v>
      </c>
      <c r="B91" s="13"/>
      <c r="C91" s="248" t="s">
        <v>103</v>
      </c>
      <c r="D91" s="248">
        <v>10</v>
      </c>
      <c r="E91" s="249" t="s">
        <v>946</v>
      </c>
      <c r="F91" s="248" t="s">
        <v>76</v>
      </c>
      <c r="G91" s="247">
        <v>158515</v>
      </c>
      <c r="I91" s="184"/>
    </row>
    <row r="92" spans="1:9" ht="12.75">
      <c r="A92" s="246" t="s">
        <v>79</v>
      </c>
      <c r="B92" s="246"/>
      <c r="C92" s="244" t="s">
        <v>103</v>
      </c>
      <c r="D92" s="244">
        <v>10</v>
      </c>
      <c r="E92" s="249" t="s">
        <v>946</v>
      </c>
      <c r="F92" s="244" t="s">
        <v>80</v>
      </c>
      <c r="G92" s="243">
        <v>1200</v>
      </c>
      <c r="I92" s="184"/>
    </row>
    <row r="93" spans="1:9" ht="51">
      <c r="A93" s="17" t="s">
        <v>893</v>
      </c>
      <c r="B93" s="266"/>
      <c r="C93" s="187" t="s">
        <v>103</v>
      </c>
      <c r="D93" s="187" t="s">
        <v>559</v>
      </c>
      <c r="E93" s="188" t="s">
        <v>895</v>
      </c>
      <c r="F93" s="187"/>
      <c r="G93" s="190">
        <f>G94</f>
        <v>100000</v>
      </c>
      <c r="I93" s="184"/>
    </row>
    <row r="94" spans="1:9" ht="38.25">
      <c r="A94" s="17" t="s">
        <v>275</v>
      </c>
      <c r="B94" s="266"/>
      <c r="C94" s="187" t="s">
        <v>103</v>
      </c>
      <c r="D94" s="187" t="s">
        <v>559</v>
      </c>
      <c r="E94" s="188" t="s">
        <v>896</v>
      </c>
      <c r="F94" s="187"/>
      <c r="G94" s="190">
        <f>G95</f>
        <v>100000</v>
      </c>
      <c r="I94" s="184"/>
    </row>
    <row r="95" spans="1:9" ht="25.5">
      <c r="A95" s="17" t="s">
        <v>155</v>
      </c>
      <c r="B95" s="266"/>
      <c r="C95" s="187" t="s">
        <v>103</v>
      </c>
      <c r="D95" s="187" t="s">
        <v>559</v>
      </c>
      <c r="E95" s="188" t="s">
        <v>896</v>
      </c>
      <c r="F95" s="187" t="s">
        <v>76</v>
      </c>
      <c r="G95" s="186">
        <v>100000</v>
      </c>
      <c r="I95" s="184"/>
    </row>
    <row r="96" spans="1:9" ht="38.25" hidden="1">
      <c r="A96" s="203" t="s">
        <v>875</v>
      </c>
      <c r="B96" s="305"/>
      <c r="C96" s="187" t="s">
        <v>103</v>
      </c>
      <c r="D96" s="187">
        <v>10</v>
      </c>
      <c r="E96" s="188" t="s">
        <v>876</v>
      </c>
      <c r="F96" s="191"/>
      <c r="G96" s="247">
        <f>G97</f>
        <v>0</v>
      </c>
      <c r="I96" s="184"/>
    </row>
    <row r="97" spans="1:9" ht="25.5" hidden="1">
      <c r="A97" s="203" t="s">
        <v>232</v>
      </c>
      <c r="B97" s="246"/>
      <c r="C97" s="187" t="s">
        <v>103</v>
      </c>
      <c r="D97" s="187">
        <v>10</v>
      </c>
      <c r="E97" s="188" t="s">
        <v>876</v>
      </c>
      <c r="F97" s="191">
        <v>200</v>
      </c>
      <c r="G97" s="243"/>
      <c r="I97" s="184"/>
    </row>
    <row r="98" spans="1:9" ht="12.75">
      <c r="A98" s="226" t="s">
        <v>728</v>
      </c>
      <c r="B98" s="226"/>
      <c r="C98" s="224" t="s">
        <v>538</v>
      </c>
      <c r="D98" s="271" t="s">
        <v>466</v>
      </c>
      <c r="E98" s="224" t="s">
        <v>89</v>
      </c>
      <c r="F98" s="224" t="s">
        <v>89</v>
      </c>
      <c r="G98" s="223">
        <f>G99+G111+G130+G105</f>
        <v>62227043.15</v>
      </c>
      <c r="I98" s="184"/>
    </row>
    <row r="99" spans="1:9" ht="12.75">
      <c r="A99" s="269" t="s">
        <v>729</v>
      </c>
      <c r="B99" s="269"/>
      <c r="C99" s="268" t="s">
        <v>538</v>
      </c>
      <c r="D99" s="268" t="s">
        <v>535</v>
      </c>
      <c r="E99" s="268" t="s">
        <v>89</v>
      </c>
      <c r="F99" s="268" t="s">
        <v>89</v>
      </c>
      <c r="G99" s="250">
        <f>G100</f>
        <v>88300</v>
      </c>
      <c r="H99" s="185"/>
      <c r="I99" s="184"/>
    </row>
    <row r="100" spans="1:9" ht="38.25">
      <c r="A100" s="266" t="s">
        <v>707</v>
      </c>
      <c r="B100" s="266"/>
      <c r="C100" s="248" t="s">
        <v>538</v>
      </c>
      <c r="D100" s="248" t="s">
        <v>535</v>
      </c>
      <c r="E100" s="249" t="s">
        <v>22</v>
      </c>
      <c r="F100" s="248" t="s">
        <v>89</v>
      </c>
      <c r="G100" s="250">
        <f>G101</f>
        <v>88300</v>
      </c>
      <c r="I100" s="184"/>
    </row>
    <row r="101" spans="1:9" ht="51">
      <c r="A101" s="12" t="s">
        <v>589</v>
      </c>
      <c r="B101" s="12"/>
      <c r="C101" s="248" t="s">
        <v>538</v>
      </c>
      <c r="D101" s="248" t="s">
        <v>535</v>
      </c>
      <c r="E101" s="249" t="s">
        <v>23</v>
      </c>
      <c r="F101" s="248"/>
      <c r="G101" s="250">
        <f>G102</f>
        <v>88300</v>
      </c>
      <c r="I101" s="184"/>
    </row>
    <row r="102" spans="1:9" ht="51">
      <c r="A102" s="18" t="s">
        <v>519</v>
      </c>
      <c r="B102" s="18"/>
      <c r="C102" s="248" t="s">
        <v>538</v>
      </c>
      <c r="D102" s="248" t="s">
        <v>535</v>
      </c>
      <c r="E102" s="249" t="s">
        <v>24</v>
      </c>
      <c r="F102" s="248"/>
      <c r="G102" s="250">
        <f>G103</f>
        <v>88300</v>
      </c>
      <c r="H102" s="185"/>
      <c r="I102" s="184"/>
    </row>
    <row r="103" spans="1:9" ht="25.5">
      <c r="A103" s="13" t="s">
        <v>706</v>
      </c>
      <c r="B103" s="13"/>
      <c r="C103" s="248" t="s">
        <v>538</v>
      </c>
      <c r="D103" s="248" t="s">
        <v>535</v>
      </c>
      <c r="E103" s="249" t="s">
        <v>25</v>
      </c>
      <c r="F103" s="248"/>
      <c r="G103" s="250">
        <f>G104</f>
        <v>88300</v>
      </c>
      <c r="I103" s="184"/>
    </row>
    <row r="104" spans="1:9" ht="38.25">
      <c r="A104" s="13" t="s">
        <v>92</v>
      </c>
      <c r="B104" s="13"/>
      <c r="C104" s="248" t="s">
        <v>538</v>
      </c>
      <c r="D104" s="248" t="s">
        <v>535</v>
      </c>
      <c r="E104" s="249" t="s">
        <v>25</v>
      </c>
      <c r="F104" s="248">
        <v>600</v>
      </c>
      <c r="G104" s="247">
        <v>88300</v>
      </c>
      <c r="I104" s="184"/>
    </row>
    <row r="105" spans="1:9" ht="12.75">
      <c r="A105" s="196" t="s">
        <v>897</v>
      </c>
      <c r="B105" s="13"/>
      <c r="C105" s="195" t="s">
        <v>538</v>
      </c>
      <c r="D105" s="195" t="s">
        <v>558</v>
      </c>
      <c r="E105" s="195"/>
      <c r="F105" s="195"/>
      <c r="G105" s="190">
        <f>G106</f>
        <v>1500231.15</v>
      </c>
      <c r="I105" s="184"/>
    </row>
    <row r="106" spans="1:9" ht="63.75">
      <c r="A106" s="194" t="s">
        <v>482</v>
      </c>
      <c r="B106" s="13"/>
      <c r="C106" s="191" t="s">
        <v>538</v>
      </c>
      <c r="D106" s="191" t="s">
        <v>558</v>
      </c>
      <c r="E106" s="192" t="s">
        <v>901</v>
      </c>
      <c r="F106" s="191"/>
      <c r="G106" s="190">
        <f>G107</f>
        <v>1500231.15</v>
      </c>
      <c r="I106" s="184"/>
    </row>
    <row r="107" spans="1:9" ht="25.5">
      <c r="A107" s="117" t="s">
        <v>898</v>
      </c>
      <c r="B107" s="13"/>
      <c r="C107" s="191" t="s">
        <v>538</v>
      </c>
      <c r="D107" s="191" t="s">
        <v>558</v>
      </c>
      <c r="E107" s="192" t="s">
        <v>902</v>
      </c>
      <c r="F107" s="191"/>
      <c r="G107" s="190">
        <f>G108</f>
        <v>1500231.15</v>
      </c>
      <c r="I107" s="184"/>
    </row>
    <row r="108" spans="1:9" ht="38.25">
      <c r="A108" s="203" t="s">
        <v>899</v>
      </c>
      <c r="B108" s="13"/>
      <c r="C108" s="191" t="s">
        <v>538</v>
      </c>
      <c r="D108" s="191" t="s">
        <v>558</v>
      </c>
      <c r="E108" s="192" t="s">
        <v>903</v>
      </c>
      <c r="F108" s="191"/>
      <c r="G108" s="202">
        <f>G109</f>
        <v>1500231.15</v>
      </c>
      <c r="I108" s="184"/>
    </row>
    <row r="109" spans="1:9" ht="12.75">
      <c r="A109" s="203" t="s">
        <v>900</v>
      </c>
      <c r="B109" s="13"/>
      <c r="C109" s="191" t="s">
        <v>538</v>
      </c>
      <c r="D109" s="191" t="s">
        <v>558</v>
      </c>
      <c r="E109" s="192" t="s">
        <v>904</v>
      </c>
      <c r="F109" s="191"/>
      <c r="G109" s="202">
        <f>G110</f>
        <v>1500231.15</v>
      </c>
      <c r="I109" s="184"/>
    </row>
    <row r="110" spans="1:9" ht="25.5">
      <c r="A110" s="203" t="s">
        <v>232</v>
      </c>
      <c r="B110" s="13"/>
      <c r="C110" s="191" t="s">
        <v>538</v>
      </c>
      <c r="D110" s="191" t="s">
        <v>558</v>
      </c>
      <c r="E110" s="192" t="s">
        <v>904</v>
      </c>
      <c r="F110" s="191" t="s">
        <v>76</v>
      </c>
      <c r="G110" s="202">
        <v>1500231.15</v>
      </c>
      <c r="I110" s="184"/>
    </row>
    <row r="111" spans="1:9" ht="12.75">
      <c r="A111" s="269" t="s">
        <v>88</v>
      </c>
      <c r="B111" s="269"/>
      <c r="C111" s="268" t="s">
        <v>538</v>
      </c>
      <c r="D111" s="268" t="s">
        <v>104</v>
      </c>
      <c r="E111" s="267" t="s">
        <v>89</v>
      </c>
      <c r="F111" s="267" t="s">
        <v>89</v>
      </c>
      <c r="G111" s="250">
        <f>G112</f>
        <v>60218512</v>
      </c>
      <c r="I111" s="184"/>
    </row>
    <row r="112" spans="1:9" ht="63.75">
      <c r="A112" s="266" t="s">
        <v>482</v>
      </c>
      <c r="B112" s="266"/>
      <c r="C112" s="248" t="s">
        <v>538</v>
      </c>
      <c r="D112" s="248" t="s">
        <v>104</v>
      </c>
      <c r="E112" s="249" t="s">
        <v>31</v>
      </c>
      <c r="F112" s="264" t="s">
        <v>89</v>
      </c>
      <c r="G112" s="250">
        <f>G113+G126</f>
        <v>60218512</v>
      </c>
      <c r="I112" s="184"/>
    </row>
    <row r="113" spans="1:9" ht="89.25">
      <c r="A113" s="12" t="s">
        <v>49</v>
      </c>
      <c r="B113" s="12"/>
      <c r="C113" s="248" t="s">
        <v>538</v>
      </c>
      <c r="D113" s="248" t="s">
        <v>104</v>
      </c>
      <c r="E113" s="252" t="s">
        <v>237</v>
      </c>
      <c r="F113" s="265" t="s">
        <v>89</v>
      </c>
      <c r="G113" s="250">
        <f>G114+G118+G123</f>
        <v>60018240</v>
      </c>
      <c r="I113" s="184"/>
    </row>
    <row r="114" spans="1:9" ht="25.5">
      <c r="A114" s="18" t="s">
        <v>236</v>
      </c>
      <c r="B114" s="18"/>
      <c r="C114" s="248" t="s">
        <v>538</v>
      </c>
      <c r="D114" s="248" t="s">
        <v>104</v>
      </c>
      <c r="E114" s="249" t="s">
        <v>235</v>
      </c>
      <c r="F114" s="265"/>
      <c r="G114" s="250">
        <f>G115</f>
        <v>325802.67</v>
      </c>
      <c r="I114" s="184"/>
    </row>
    <row r="115" spans="1:9" ht="38.25">
      <c r="A115" s="21" t="s">
        <v>33</v>
      </c>
      <c r="B115" s="21"/>
      <c r="C115" s="248" t="s">
        <v>538</v>
      </c>
      <c r="D115" s="248" t="s">
        <v>104</v>
      </c>
      <c r="E115" s="249" t="s">
        <v>234</v>
      </c>
      <c r="F115" s="265"/>
      <c r="G115" s="250">
        <f>G116+G117</f>
        <v>325802.67</v>
      </c>
      <c r="I115" s="184"/>
    </row>
    <row r="116" spans="1:9" ht="25.5">
      <c r="A116" s="13" t="s">
        <v>232</v>
      </c>
      <c r="B116" s="21"/>
      <c r="C116" s="248" t="s">
        <v>538</v>
      </c>
      <c r="D116" s="248" t="s">
        <v>104</v>
      </c>
      <c r="E116" s="249" t="s">
        <v>234</v>
      </c>
      <c r="F116" s="193">
        <v>200</v>
      </c>
      <c r="G116" s="247"/>
      <c r="I116" s="184"/>
    </row>
    <row r="117" spans="1:9" ht="12.75">
      <c r="A117" s="13" t="s">
        <v>79</v>
      </c>
      <c r="B117" s="13"/>
      <c r="C117" s="248" t="s">
        <v>538</v>
      </c>
      <c r="D117" s="248" t="s">
        <v>104</v>
      </c>
      <c r="E117" s="249" t="s">
        <v>234</v>
      </c>
      <c r="F117" s="251">
        <v>800</v>
      </c>
      <c r="G117" s="247">
        <v>325802.67</v>
      </c>
      <c r="I117" s="184"/>
    </row>
    <row r="118" spans="1:9" ht="38.25">
      <c r="A118" s="18" t="s">
        <v>233</v>
      </c>
      <c r="B118" s="18"/>
      <c r="C118" s="248" t="s">
        <v>538</v>
      </c>
      <c r="D118" s="248" t="s">
        <v>104</v>
      </c>
      <c r="E118" s="249" t="s">
        <v>254</v>
      </c>
      <c r="F118" s="265"/>
      <c r="G118" s="250">
        <f>G121+G119</f>
        <v>59692437.33</v>
      </c>
      <c r="I118" s="184"/>
    </row>
    <row r="119" spans="1:9" ht="38.25">
      <c r="A119" s="144" t="s">
        <v>633</v>
      </c>
      <c r="B119" s="145"/>
      <c r="C119" s="145" t="s">
        <v>538</v>
      </c>
      <c r="D119" s="145" t="s">
        <v>104</v>
      </c>
      <c r="E119" s="146" t="s">
        <v>152</v>
      </c>
      <c r="F119" s="249"/>
      <c r="G119" s="250">
        <f>G120</f>
        <v>57294342</v>
      </c>
      <c r="I119" s="184"/>
    </row>
    <row r="120" spans="1:9" ht="25.5">
      <c r="A120" s="148" t="s">
        <v>232</v>
      </c>
      <c r="B120" s="145"/>
      <c r="C120" s="145" t="s">
        <v>538</v>
      </c>
      <c r="D120" s="145" t="s">
        <v>104</v>
      </c>
      <c r="E120" s="146" t="s">
        <v>152</v>
      </c>
      <c r="F120" s="249"/>
      <c r="G120" s="250">
        <v>57294342</v>
      </c>
      <c r="I120" s="184"/>
    </row>
    <row r="121" spans="1:9" ht="38.25">
      <c r="A121" s="74" t="s">
        <v>633</v>
      </c>
      <c r="B121" s="74"/>
      <c r="C121" s="248" t="s">
        <v>538</v>
      </c>
      <c r="D121" s="248" t="s">
        <v>104</v>
      </c>
      <c r="E121" s="72" t="s">
        <v>632</v>
      </c>
      <c r="F121" s="248" t="s">
        <v>89</v>
      </c>
      <c r="G121" s="250">
        <f>G122</f>
        <v>2398095.33</v>
      </c>
      <c r="I121" s="184"/>
    </row>
    <row r="122" spans="1:9" ht="25.5">
      <c r="A122" s="13" t="s">
        <v>232</v>
      </c>
      <c r="B122" s="13"/>
      <c r="C122" s="248" t="s">
        <v>538</v>
      </c>
      <c r="D122" s="248" t="s">
        <v>104</v>
      </c>
      <c r="E122" s="72" t="s">
        <v>632</v>
      </c>
      <c r="F122" s="248">
        <v>200</v>
      </c>
      <c r="G122" s="247">
        <v>2398095.33</v>
      </c>
      <c r="I122" s="184"/>
    </row>
    <row r="123" spans="1:9" ht="38.25" hidden="1">
      <c r="A123" s="13" t="s">
        <v>67</v>
      </c>
      <c r="B123" s="13"/>
      <c r="C123" s="248" t="s">
        <v>538</v>
      </c>
      <c r="D123" s="248" t="s">
        <v>104</v>
      </c>
      <c r="E123" s="249" t="s">
        <v>68</v>
      </c>
      <c r="F123" s="248"/>
      <c r="G123" s="250">
        <f>G124</f>
        <v>0</v>
      </c>
      <c r="I123" s="184"/>
    </row>
    <row r="124" spans="1:9" ht="24" hidden="1">
      <c r="A124" s="23" t="s">
        <v>749</v>
      </c>
      <c r="B124" s="23"/>
      <c r="C124" s="248" t="s">
        <v>538</v>
      </c>
      <c r="D124" s="248" t="s">
        <v>104</v>
      </c>
      <c r="E124" s="249" t="s">
        <v>750</v>
      </c>
      <c r="F124" s="248"/>
      <c r="G124" s="250">
        <f>G125</f>
        <v>0</v>
      </c>
      <c r="I124" s="184"/>
    </row>
    <row r="125" spans="1:9" ht="25.5" hidden="1">
      <c r="A125" s="287" t="s">
        <v>225</v>
      </c>
      <c r="B125" s="287"/>
      <c r="C125" s="248" t="s">
        <v>538</v>
      </c>
      <c r="D125" s="248" t="s">
        <v>104</v>
      </c>
      <c r="E125" s="249" t="s">
        <v>750</v>
      </c>
      <c r="F125" s="248">
        <v>400</v>
      </c>
      <c r="G125" s="247"/>
      <c r="I125" s="184"/>
    </row>
    <row r="126" spans="1:9" ht="89.25">
      <c r="A126" s="24" t="s">
        <v>264</v>
      </c>
      <c r="B126" s="24"/>
      <c r="C126" s="295" t="s">
        <v>538</v>
      </c>
      <c r="D126" s="295" t="s">
        <v>104</v>
      </c>
      <c r="E126" s="273" t="s">
        <v>32</v>
      </c>
      <c r="F126" s="295"/>
      <c r="G126" s="250">
        <f>G127</f>
        <v>200272</v>
      </c>
      <c r="I126" s="184"/>
    </row>
    <row r="127" spans="1:9" ht="63.75">
      <c r="A127" s="18" t="s">
        <v>101</v>
      </c>
      <c r="B127" s="18"/>
      <c r="C127" s="295" t="s">
        <v>538</v>
      </c>
      <c r="D127" s="295" t="s">
        <v>104</v>
      </c>
      <c r="E127" s="285" t="s">
        <v>453</v>
      </c>
      <c r="F127" s="295"/>
      <c r="G127" s="250">
        <f>G128</f>
        <v>200272</v>
      </c>
      <c r="I127" s="184"/>
    </row>
    <row r="128" spans="1:9" ht="38.25">
      <c r="A128" s="21" t="s">
        <v>634</v>
      </c>
      <c r="B128" s="21"/>
      <c r="C128" s="295" t="s">
        <v>538</v>
      </c>
      <c r="D128" s="295" t="s">
        <v>104</v>
      </c>
      <c r="E128" s="285" t="s">
        <v>351</v>
      </c>
      <c r="F128" s="295"/>
      <c r="G128" s="250">
        <f>G129</f>
        <v>200272</v>
      </c>
      <c r="I128" s="184"/>
    </row>
    <row r="129" spans="1:9" ht="12.75">
      <c r="A129" s="287" t="s">
        <v>79</v>
      </c>
      <c r="B129" s="287"/>
      <c r="C129" s="295" t="s">
        <v>538</v>
      </c>
      <c r="D129" s="295" t="s">
        <v>104</v>
      </c>
      <c r="E129" s="285" t="s">
        <v>351</v>
      </c>
      <c r="F129" s="295">
        <v>800</v>
      </c>
      <c r="G129" s="247">
        <v>200272</v>
      </c>
      <c r="I129" s="184"/>
    </row>
    <row r="130" spans="1:9" ht="25.5">
      <c r="A130" s="90" t="s">
        <v>556</v>
      </c>
      <c r="B130" s="85"/>
      <c r="C130" s="91" t="s">
        <v>538</v>
      </c>
      <c r="D130" s="91">
        <v>12</v>
      </c>
      <c r="E130" s="92"/>
      <c r="F130" s="91"/>
      <c r="G130" s="80">
        <f>G131+G135</f>
        <v>420000</v>
      </c>
      <c r="I130" s="184"/>
    </row>
    <row r="131" spans="1:9" ht="38.25">
      <c r="A131" s="266" t="s">
        <v>50</v>
      </c>
      <c r="B131" s="85"/>
      <c r="C131" s="295" t="s">
        <v>538</v>
      </c>
      <c r="D131" s="295">
        <v>12</v>
      </c>
      <c r="E131" s="249" t="s">
        <v>635</v>
      </c>
      <c r="F131" s="295"/>
      <c r="G131" s="80">
        <f>G132</f>
        <v>20000</v>
      </c>
      <c r="I131" s="184"/>
    </row>
    <row r="132" spans="1:9" ht="38.25">
      <c r="A132" s="20" t="s">
        <v>338</v>
      </c>
      <c r="B132" s="85"/>
      <c r="C132" s="295" t="s">
        <v>538</v>
      </c>
      <c r="D132" s="295">
        <v>12</v>
      </c>
      <c r="E132" s="249" t="s">
        <v>637</v>
      </c>
      <c r="F132" s="295"/>
      <c r="G132" s="80">
        <f>G133</f>
        <v>20000</v>
      </c>
      <c r="I132" s="184"/>
    </row>
    <row r="133" spans="1:9" ht="38.25">
      <c r="A133" s="20" t="s">
        <v>636</v>
      </c>
      <c r="B133" s="85"/>
      <c r="C133" s="295" t="s">
        <v>538</v>
      </c>
      <c r="D133" s="295">
        <v>12</v>
      </c>
      <c r="E133" s="249" t="s">
        <v>100</v>
      </c>
      <c r="F133" s="295"/>
      <c r="G133" s="80">
        <f>G134</f>
        <v>20000</v>
      </c>
      <c r="I133" s="184"/>
    </row>
    <row r="134" spans="1:9" ht="12.75">
      <c r="A134" s="287" t="s">
        <v>79</v>
      </c>
      <c r="B134" s="85"/>
      <c r="C134" s="295" t="s">
        <v>538</v>
      </c>
      <c r="D134" s="295">
        <v>12</v>
      </c>
      <c r="E134" s="249" t="s">
        <v>100</v>
      </c>
      <c r="F134" s="295">
        <v>800</v>
      </c>
      <c r="G134" s="80">
        <v>20000</v>
      </c>
      <c r="I134" s="184"/>
    </row>
    <row r="135" spans="1:9" ht="25.5">
      <c r="A135" s="79" t="s">
        <v>631</v>
      </c>
      <c r="B135" s="85"/>
      <c r="C135" s="85" t="s">
        <v>538</v>
      </c>
      <c r="D135" s="85">
        <v>12</v>
      </c>
      <c r="E135" s="72" t="s">
        <v>14</v>
      </c>
      <c r="F135" s="85"/>
      <c r="G135" s="80">
        <f>G136</f>
        <v>400000</v>
      </c>
      <c r="I135" s="184"/>
    </row>
    <row r="136" spans="1:9" ht="25.5">
      <c r="A136" s="75" t="s">
        <v>641</v>
      </c>
      <c r="B136" s="85"/>
      <c r="C136" s="85" t="s">
        <v>538</v>
      </c>
      <c r="D136" s="85">
        <v>12</v>
      </c>
      <c r="E136" s="86" t="s">
        <v>16</v>
      </c>
      <c r="F136" s="85"/>
      <c r="G136" s="80">
        <f>G137</f>
        <v>400000</v>
      </c>
      <c r="I136" s="184"/>
    </row>
    <row r="137" spans="1:9" ht="38.25">
      <c r="A137" s="78" t="s">
        <v>98</v>
      </c>
      <c r="B137" s="85"/>
      <c r="C137" s="85" t="s">
        <v>538</v>
      </c>
      <c r="D137" s="85">
        <v>12</v>
      </c>
      <c r="E137" s="72" t="s">
        <v>99</v>
      </c>
      <c r="F137" s="85"/>
      <c r="G137" s="80">
        <f>G138</f>
        <v>400000</v>
      </c>
      <c r="I137" s="184"/>
    </row>
    <row r="138" spans="1:9" ht="25.5">
      <c r="A138" s="83" t="s">
        <v>232</v>
      </c>
      <c r="B138" s="87"/>
      <c r="C138" s="87" t="s">
        <v>538</v>
      </c>
      <c r="D138" s="87">
        <v>12</v>
      </c>
      <c r="E138" s="88" t="s">
        <v>99</v>
      </c>
      <c r="F138" s="87">
        <v>200</v>
      </c>
      <c r="G138" s="126">
        <v>400000</v>
      </c>
      <c r="I138" s="184"/>
    </row>
    <row r="139" spans="1:9" ht="12.75">
      <c r="A139" s="226" t="s">
        <v>543</v>
      </c>
      <c r="B139" s="226"/>
      <c r="C139" s="224" t="s">
        <v>658</v>
      </c>
      <c r="D139" s="271" t="s">
        <v>466</v>
      </c>
      <c r="E139" s="224" t="s">
        <v>89</v>
      </c>
      <c r="F139" s="224" t="s">
        <v>89</v>
      </c>
      <c r="G139" s="223">
        <f>G140+G154</f>
        <v>64202694.11</v>
      </c>
      <c r="I139" s="184"/>
    </row>
    <row r="140" spans="1:9" ht="12.75">
      <c r="A140" s="269" t="s">
        <v>239</v>
      </c>
      <c r="B140" s="269"/>
      <c r="C140" s="268" t="s">
        <v>658</v>
      </c>
      <c r="D140" s="300" t="s">
        <v>535</v>
      </c>
      <c r="E140" s="299"/>
      <c r="F140" s="299"/>
      <c r="G140" s="250">
        <f>G141</f>
        <v>49620279.26</v>
      </c>
      <c r="I140" s="184"/>
    </row>
    <row r="141" spans="1:9" ht="63.75">
      <c r="A141" s="266" t="s">
        <v>483</v>
      </c>
      <c r="B141" s="266"/>
      <c r="C141" s="248" t="s">
        <v>658</v>
      </c>
      <c r="D141" s="283" t="s">
        <v>535</v>
      </c>
      <c r="E141" s="249" t="s">
        <v>34</v>
      </c>
      <c r="F141" s="299"/>
      <c r="G141" s="250">
        <f>G142+G150</f>
        <v>49620279.26</v>
      </c>
      <c r="I141" s="184"/>
    </row>
    <row r="142" spans="1:9" ht="89.25">
      <c r="A142" s="12" t="s">
        <v>219</v>
      </c>
      <c r="B142" s="12"/>
      <c r="C142" s="248" t="s">
        <v>658</v>
      </c>
      <c r="D142" s="283" t="s">
        <v>535</v>
      </c>
      <c r="E142" s="249" t="s">
        <v>220</v>
      </c>
      <c r="F142" s="299"/>
      <c r="G142" s="250">
        <f>G143</f>
        <v>48936279.26</v>
      </c>
      <c r="I142" s="184"/>
    </row>
    <row r="143" spans="1:9" ht="38.25">
      <c r="A143" s="296" t="s">
        <v>754</v>
      </c>
      <c r="B143" s="296"/>
      <c r="C143" s="248" t="s">
        <v>658</v>
      </c>
      <c r="D143" s="283" t="s">
        <v>535</v>
      </c>
      <c r="E143" s="249" t="s">
        <v>66</v>
      </c>
      <c r="F143" s="299"/>
      <c r="G143" s="250">
        <f>G144+G146+G148</f>
        <v>48936279.26</v>
      </c>
      <c r="I143" s="184"/>
    </row>
    <row r="144" spans="1:9" ht="38.25">
      <c r="A144" s="296" t="s">
        <v>94</v>
      </c>
      <c r="B144" s="296"/>
      <c r="C144" s="248" t="s">
        <v>658</v>
      </c>
      <c r="D144" s="283" t="s">
        <v>535</v>
      </c>
      <c r="E144" s="249" t="s">
        <v>710</v>
      </c>
      <c r="F144" s="299"/>
      <c r="G144" s="250">
        <f>G145</f>
        <v>31409414.15</v>
      </c>
      <c r="I144" s="184"/>
    </row>
    <row r="145" spans="1:9" ht="25.5">
      <c r="A145" s="287" t="s">
        <v>225</v>
      </c>
      <c r="B145" s="296"/>
      <c r="C145" s="248" t="s">
        <v>658</v>
      </c>
      <c r="D145" s="283" t="s">
        <v>535</v>
      </c>
      <c r="E145" s="249" t="s">
        <v>710</v>
      </c>
      <c r="F145" s="248">
        <v>400</v>
      </c>
      <c r="G145" s="250">
        <v>31409414.15</v>
      </c>
      <c r="I145" s="184"/>
    </row>
    <row r="146" spans="1:9" ht="38.25">
      <c r="A146" s="296" t="s">
        <v>95</v>
      </c>
      <c r="B146" s="296"/>
      <c r="C146" s="248" t="s">
        <v>658</v>
      </c>
      <c r="D146" s="283" t="s">
        <v>535</v>
      </c>
      <c r="E146" s="249" t="s">
        <v>711</v>
      </c>
      <c r="F146" s="299"/>
      <c r="G146" s="250">
        <f>G147</f>
        <v>6371534.65</v>
      </c>
      <c r="I146" s="184"/>
    </row>
    <row r="147" spans="1:9" ht="25.5">
      <c r="A147" s="287" t="s">
        <v>225</v>
      </c>
      <c r="B147" s="296"/>
      <c r="C147" s="248" t="s">
        <v>658</v>
      </c>
      <c r="D147" s="283" t="s">
        <v>535</v>
      </c>
      <c r="E147" s="249" t="s">
        <v>711</v>
      </c>
      <c r="F147" s="248">
        <v>400</v>
      </c>
      <c r="G147" s="250">
        <v>6371534.65</v>
      </c>
      <c r="I147" s="184"/>
    </row>
    <row r="148" spans="1:9" ht="76.5">
      <c r="A148" s="17" t="s">
        <v>69</v>
      </c>
      <c r="B148" s="296"/>
      <c r="C148" s="248" t="s">
        <v>658</v>
      </c>
      <c r="D148" s="283" t="s">
        <v>535</v>
      </c>
      <c r="E148" s="249" t="s">
        <v>296</v>
      </c>
      <c r="F148" s="299"/>
      <c r="G148" s="250">
        <f>G149</f>
        <v>11155330.46</v>
      </c>
      <c r="I148" s="184"/>
    </row>
    <row r="149" spans="1:9" ht="25.5">
      <c r="A149" s="287" t="s">
        <v>225</v>
      </c>
      <c r="B149" s="287"/>
      <c r="C149" s="248" t="s">
        <v>658</v>
      </c>
      <c r="D149" s="283" t="s">
        <v>535</v>
      </c>
      <c r="E149" s="249" t="s">
        <v>296</v>
      </c>
      <c r="F149" s="248">
        <v>400</v>
      </c>
      <c r="G149" s="247">
        <v>11155330.46</v>
      </c>
      <c r="I149" s="184"/>
    </row>
    <row r="150" spans="1:9" ht="76.5">
      <c r="A150" s="117" t="s">
        <v>484</v>
      </c>
      <c r="B150" s="12"/>
      <c r="C150" s="248" t="s">
        <v>658</v>
      </c>
      <c r="D150" s="283" t="s">
        <v>535</v>
      </c>
      <c r="E150" s="252" t="s">
        <v>561</v>
      </c>
      <c r="F150" s="299"/>
      <c r="G150" s="250">
        <f>G151</f>
        <v>684000</v>
      </c>
      <c r="I150" s="184"/>
    </row>
    <row r="151" spans="1:9" ht="38.25">
      <c r="A151" s="26" t="s">
        <v>238</v>
      </c>
      <c r="B151" s="26"/>
      <c r="C151" s="248" t="s">
        <v>658</v>
      </c>
      <c r="D151" s="283" t="s">
        <v>535</v>
      </c>
      <c r="E151" s="249" t="s">
        <v>271</v>
      </c>
      <c r="F151" s="299"/>
      <c r="G151" s="250">
        <f>G152</f>
        <v>684000</v>
      </c>
      <c r="I151" s="184"/>
    </row>
    <row r="152" spans="1:9" ht="24">
      <c r="A152" s="23" t="s">
        <v>270</v>
      </c>
      <c r="B152" s="23"/>
      <c r="C152" s="248" t="s">
        <v>658</v>
      </c>
      <c r="D152" s="283" t="s">
        <v>535</v>
      </c>
      <c r="E152" s="249" t="s">
        <v>269</v>
      </c>
      <c r="F152" s="299"/>
      <c r="G152" s="250">
        <f>SUM(G153:G153)</f>
        <v>684000</v>
      </c>
      <c r="I152" s="184"/>
    </row>
    <row r="153" spans="1:9" ht="25.5">
      <c r="A153" s="13" t="s">
        <v>232</v>
      </c>
      <c r="B153" s="13"/>
      <c r="C153" s="248" t="s">
        <v>658</v>
      </c>
      <c r="D153" s="283" t="s">
        <v>535</v>
      </c>
      <c r="E153" s="249" t="s">
        <v>269</v>
      </c>
      <c r="F153" s="248">
        <v>200</v>
      </c>
      <c r="G153" s="247">
        <v>684000</v>
      </c>
      <c r="I153" s="184"/>
    </row>
    <row r="154" spans="1:9" ht="12.75">
      <c r="A154" s="269" t="s">
        <v>565</v>
      </c>
      <c r="B154" s="269"/>
      <c r="C154" s="268" t="s">
        <v>658</v>
      </c>
      <c r="D154" s="268" t="s">
        <v>103</v>
      </c>
      <c r="E154" s="268" t="s">
        <v>89</v>
      </c>
      <c r="F154" s="268" t="s">
        <v>89</v>
      </c>
      <c r="G154" s="250">
        <f>G155+G165+G174</f>
        <v>14582414.85</v>
      </c>
      <c r="I154" s="184"/>
    </row>
    <row r="155" spans="1:9" ht="63.75">
      <c r="A155" s="266" t="s">
        <v>483</v>
      </c>
      <c r="B155" s="266"/>
      <c r="C155" s="248" t="s">
        <v>658</v>
      </c>
      <c r="D155" s="248" t="s">
        <v>103</v>
      </c>
      <c r="E155" s="249" t="s">
        <v>34</v>
      </c>
      <c r="F155" s="248" t="s">
        <v>89</v>
      </c>
      <c r="G155" s="250">
        <f>G156</f>
        <v>8951475.85</v>
      </c>
      <c r="I155" s="184"/>
    </row>
    <row r="156" spans="1:9" ht="76.5">
      <c r="A156" s="12" t="s">
        <v>484</v>
      </c>
      <c r="B156" s="12"/>
      <c r="C156" s="248" t="s">
        <v>658</v>
      </c>
      <c r="D156" s="248" t="s">
        <v>103</v>
      </c>
      <c r="E156" s="252" t="s">
        <v>561</v>
      </c>
      <c r="F156" s="251" t="s">
        <v>89</v>
      </c>
      <c r="G156" s="250">
        <f>G157</f>
        <v>8951475.85</v>
      </c>
      <c r="I156" s="184"/>
    </row>
    <row r="157" spans="1:9" ht="25.5">
      <c r="A157" s="26" t="s">
        <v>357</v>
      </c>
      <c r="B157" s="26"/>
      <c r="C157" s="248" t="s">
        <v>658</v>
      </c>
      <c r="D157" s="248" t="s">
        <v>103</v>
      </c>
      <c r="E157" s="249" t="s">
        <v>458</v>
      </c>
      <c r="F157" s="251"/>
      <c r="G157" s="250">
        <f>G158+G161+G163</f>
        <v>8951475.85</v>
      </c>
      <c r="I157" s="184"/>
    </row>
    <row r="158" spans="1:9" ht="12.75">
      <c r="A158" s="21" t="s">
        <v>737</v>
      </c>
      <c r="B158" s="21"/>
      <c r="C158" s="248" t="s">
        <v>658</v>
      </c>
      <c r="D158" s="248" t="s">
        <v>103</v>
      </c>
      <c r="E158" s="249" t="s">
        <v>459</v>
      </c>
      <c r="F158" s="248" t="s">
        <v>89</v>
      </c>
      <c r="G158" s="250">
        <f>SUM(G159:G160)</f>
        <v>8951475.85</v>
      </c>
      <c r="I158" s="184"/>
    </row>
    <row r="159" spans="1:9" ht="25.5">
      <c r="A159" s="13" t="s">
        <v>232</v>
      </c>
      <c r="B159" s="13"/>
      <c r="C159" s="248" t="s">
        <v>658</v>
      </c>
      <c r="D159" s="248" t="s">
        <v>103</v>
      </c>
      <c r="E159" s="249" t="s">
        <v>459</v>
      </c>
      <c r="F159" s="248">
        <v>200</v>
      </c>
      <c r="G159" s="247">
        <v>3375738</v>
      </c>
      <c r="I159" s="184"/>
    </row>
    <row r="160" spans="1:9" ht="24" customHeight="1">
      <c r="A160" s="13" t="s">
        <v>79</v>
      </c>
      <c r="B160" s="13"/>
      <c r="C160" s="248" t="s">
        <v>658</v>
      </c>
      <c r="D160" s="248" t="s">
        <v>103</v>
      </c>
      <c r="E160" s="249" t="s">
        <v>459</v>
      </c>
      <c r="F160" s="248">
        <v>800</v>
      </c>
      <c r="G160" s="247">
        <v>5575737.85</v>
      </c>
      <c r="I160" s="184"/>
    </row>
    <row r="161" spans="1:9" ht="12.75" hidden="1">
      <c r="A161" s="203" t="s">
        <v>819</v>
      </c>
      <c r="B161" s="13"/>
      <c r="C161" s="191" t="s">
        <v>658</v>
      </c>
      <c r="D161" s="191" t="s">
        <v>103</v>
      </c>
      <c r="E161" s="192" t="s">
        <v>818</v>
      </c>
      <c r="F161" s="191"/>
      <c r="G161" s="202">
        <f>G162</f>
        <v>0</v>
      </c>
      <c r="I161" s="184"/>
    </row>
    <row r="162" spans="1:9" ht="25.5" hidden="1">
      <c r="A162" s="203" t="s">
        <v>232</v>
      </c>
      <c r="B162" s="13"/>
      <c r="C162" s="191" t="s">
        <v>658</v>
      </c>
      <c r="D162" s="191" t="s">
        <v>103</v>
      </c>
      <c r="E162" s="192" t="s">
        <v>818</v>
      </c>
      <c r="F162" s="191">
        <v>200</v>
      </c>
      <c r="G162" s="202"/>
      <c r="I162" s="184"/>
    </row>
    <row r="163" spans="1:9" ht="12.75" hidden="1">
      <c r="A163" s="203" t="s">
        <v>817</v>
      </c>
      <c r="B163" s="13"/>
      <c r="C163" s="191" t="s">
        <v>658</v>
      </c>
      <c r="D163" s="191" t="s">
        <v>103</v>
      </c>
      <c r="E163" s="192" t="s">
        <v>816</v>
      </c>
      <c r="F163" s="191"/>
      <c r="G163" s="202">
        <f>G164</f>
        <v>0</v>
      </c>
      <c r="I163" s="184"/>
    </row>
    <row r="164" spans="1:9" ht="25.5" hidden="1">
      <c r="A164" s="203" t="s">
        <v>232</v>
      </c>
      <c r="B164" s="13"/>
      <c r="C164" s="191" t="s">
        <v>658</v>
      </c>
      <c r="D164" s="191" t="s">
        <v>103</v>
      </c>
      <c r="E164" s="192" t="s">
        <v>816</v>
      </c>
      <c r="F164" s="191">
        <v>200</v>
      </c>
      <c r="G164" s="202"/>
      <c r="I164" s="184"/>
    </row>
    <row r="165" spans="1:9" ht="51">
      <c r="A165" s="266" t="s">
        <v>479</v>
      </c>
      <c r="B165" s="266"/>
      <c r="C165" s="248" t="s">
        <v>658</v>
      </c>
      <c r="D165" s="248" t="s">
        <v>103</v>
      </c>
      <c r="E165" s="249" t="s">
        <v>643</v>
      </c>
      <c r="F165" s="248"/>
      <c r="G165" s="250">
        <f>G166+G168+G171</f>
        <v>5630939</v>
      </c>
      <c r="I165" s="184"/>
    </row>
    <row r="166" spans="1:9" ht="51" hidden="1">
      <c r="A166" s="20" t="s">
        <v>404</v>
      </c>
      <c r="B166" s="266"/>
      <c r="C166" s="248" t="s">
        <v>658</v>
      </c>
      <c r="D166" s="248" t="s">
        <v>103</v>
      </c>
      <c r="E166" s="249" t="s">
        <v>405</v>
      </c>
      <c r="F166" s="248"/>
      <c r="G166" s="250">
        <f>G167</f>
        <v>0</v>
      </c>
      <c r="I166" s="184"/>
    </row>
    <row r="167" spans="1:9" ht="12.75" hidden="1">
      <c r="A167" s="13" t="s">
        <v>79</v>
      </c>
      <c r="B167" s="266"/>
      <c r="C167" s="248" t="s">
        <v>658</v>
      </c>
      <c r="D167" s="248" t="s">
        <v>103</v>
      </c>
      <c r="E167" s="249" t="s">
        <v>405</v>
      </c>
      <c r="F167" s="248">
        <v>800</v>
      </c>
      <c r="G167" s="250"/>
      <c r="I167" s="184"/>
    </row>
    <row r="168" spans="1:9" ht="25.5">
      <c r="A168" s="26" t="s">
        <v>714</v>
      </c>
      <c r="B168" s="26"/>
      <c r="C168" s="248" t="s">
        <v>658</v>
      </c>
      <c r="D168" s="248" t="s">
        <v>103</v>
      </c>
      <c r="E168" s="249" t="s">
        <v>340</v>
      </c>
      <c r="F168" s="248"/>
      <c r="G168" s="250">
        <f>G169</f>
        <v>5630939</v>
      </c>
      <c r="I168" s="184"/>
    </row>
    <row r="169" spans="1:9" ht="25.5">
      <c r="A169" s="70" t="s">
        <v>342</v>
      </c>
      <c r="B169" s="70"/>
      <c r="C169" s="248" t="s">
        <v>658</v>
      </c>
      <c r="D169" s="248" t="s">
        <v>103</v>
      </c>
      <c r="E169" s="249" t="s">
        <v>341</v>
      </c>
      <c r="F169" s="248"/>
      <c r="G169" s="250">
        <f>G170</f>
        <v>5630939</v>
      </c>
      <c r="I169" s="184"/>
    </row>
    <row r="170" spans="1:9" ht="25.5">
      <c r="A170" s="13" t="s">
        <v>232</v>
      </c>
      <c r="B170" s="13"/>
      <c r="C170" s="248" t="s">
        <v>658</v>
      </c>
      <c r="D170" s="248" t="s">
        <v>103</v>
      </c>
      <c r="E170" s="249" t="s">
        <v>341</v>
      </c>
      <c r="F170" s="248">
        <v>200</v>
      </c>
      <c r="G170" s="247">
        <f>375681+5255258</f>
        <v>5630939</v>
      </c>
      <c r="I170" s="184"/>
    </row>
    <row r="171" spans="1:9" ht="38.25" hidden="1">
      <c r="A171" s="203" t="s">
        <v>877</v>
      </c>
      <c r="B171" s="13"/>
      <c r="C171" s="191" t="s">
        <v>658</v>
      </c>
      <c r="D171" s="191" t="s">
        <v>103</v>
      </c>
      <c r="E171" s="192" t="s">
        <v>878</v>
      </c>
      <c r="F171" s="191"/>
      <c r="G171" s="247">
        <f>G172</f>
        <v>0</v>
      </c>
      <c r="I171" s="184"/>
    </row>
    <row r="172" spans="1:9" ht="25.5" hidden="1">
      <c r="A172" s="203" t="s">
        <v>879</v>
      </c>
      <c r="B172" s="13"/>
      <c r="C172" s="191" t="s">
        <v>658</v>
      </c>
      <c r="D172" s="191" t="s">
        <v>103</v>
      </c>
      <c r="E172" s="192" t="s">
        <v>880</v>
      </c>
      <c r="F172" s="191"/>
      <c r="G172" s="247">
        <f>G173</f>
        <v>0</v>
      </c>
      <c r="I172" s="184"/>
    </row>
    <row r="173" spans="1:9" ht="25.5" hidden="1">
      <c r="A173" s="203" t="s">
        <v>232</v>
      </c>
      <c r="B173" s="13"/>
      <c r="C173" s="191" t="s">
        <v>658</v>
      </c>
      <c r="D173" s="191" t="s">
        <v>103</v>
      </c>
      <c r="E173" s="192" t="s">
        <v>880</v>
      </c>
      <c r="F173" s="191">
        <v>200</v>
      </c>
      <c r="G173" s="247"/>
      <c r="I173" s="184"/>
    </row>
    <row r="174" spans="1:9" ht="25.5" hidden="1">
      <c r="A174" s="266" t="s">
        <v>631</v>
      </c>
      <c r="B174" s="266"/>
      <c r="C174" s="248" t="s">
        <v>658</v>
      </c>
      <c r="D174" s="248" t="s">
        <v>103</v>
      </c>
      <c r="E174" s="249" t="s">
        <v>14</v>
      </c>
      <c r="F174" s="248"/>
      <c r="G174" s="250">
        <f>G175</f>
        <v>0</v>
      </c>
      <c r="I174" s="184"/>
    </row>
    <row r="175" spans="1:9" ht="25.5" hidden="1">
      <c r="A175" s="12" t="s">
        <v>641</v>
      </c>
      <c r="B175" s="12"/>
      <c r="C175" s="248" t="s">
        <v>658</v>
      </c>
      <c r="D175" s="248" t="s">
        <v>103</v>
      </c>
      <c r="E175" s="249" t="s">
        <v>722</v>
      </c>
      <c r="F175" s="248"/>
      <c r="G175" s="250">
        <f>G176+G183</f>
        <v>0</v>
      </c>
      <c r="I175" s="184"/>
    </row>
    <row r="176" spans="1:9" ht="25.5" hidden="1">
      <c r="A176" s="13" t="s">
        <v>723</v>
      </c>
      <c r="B176" s="13"/>
      <c r="C176" s="248" t="s">
        <v>658</v>
      </c>
      <c r="D176" s="248" t="s">
        <v>103</v>
      </c>
      <c r="E176" s="249" t="s">
        <v>403</v>
      </c>
      <c r="F176" s="248"/>
      <c r="G176" s="298">
        <f>G177+G179+G181</f>
        <v>0</v>
      </c>
      <c r="I176" s="184"/>
    </row>
    <row r="177" spans="1:9" ht="38.25" hidden="1">
      <c r="A177" s="13" t="s">
        <v>52</v>
      </c>
      <c r="B177" s="13"/>
      <c r="C177" s="248" t="s">
        <v>658</v>
      </c>
      <c r="D177" s="248" t="s">
        <v>103</v>
      </c>
      <c r="E177" s="249" t="s">
        <v>51</v>
      </c>
      <c r="F177" s="248"/>
      <c r="G177" s="250">
        <f>G178</f>
        <v>0</v>
      </c>
      <c r="I177" s="184"/>
    </row>
    <row r="178" spans="1:9" ht="25.5" hidden="1">
      <c r="A178" s="13" t="s">
        <v>232</v>
      </c>
      <c r="B178" s="13"/>
      <c r="C178" s="248" t="s">
        <v>658</v>
      </c>
      <c r="D178" s="248" t="s">
        <v>103</v>
      </c>
      <c r="E178" s="249" t="s">
        <v>51</v>
      </c>
      <c r="F178" s="248">
        <v>200</v>
      </c>
      <c r="G178" s="250"/>
      <c r="I178" s="184"/>
    </row>
    <row r="179" spans="1:9" ht="51" hidden="1">
      <c r="A179" s="13" t="s">
        <v>53</v>
      </c>
      <c r="B179" s="13"/>
      <c r="C179" s="248" t="s">
        <v>658</v>
      </c>
      <c r="D179" s="248" t="s">
        <v>103</v>
      </c>
      <c r="E179" s="249" t="s">
        <v>54</v>
      </c>
      <c r="F179" s="248"/>
      <c r="G179" s="250">
        <f>G180</f>
        <v>0</v>
      </c>
      <c r="I179" s="184"/>
    </row>
    <row r="180" spans="1:9" ht="15" customHeight="1" hidden="1">
      <c r="A180" s="13" t="s">
        <v>232</v>
      </c>
      <c r="B180" s="13"/>
      <c r="C180" s="248" t="s">
        <v>658</v>
      </c>
      <c r="D180" s="248" t="s">
        <v>103</v>
      </c>
      <c r="E180" s="249" t="s">
        <v>54</v>
      </c>
      <c r="F180" s="248">
        <v>200</v>
      </c>
      <c r="G180" s="250"/>
      <c r="I180" s="184"/>
    </row>
    <row r="181" spans="1:9" ht="52.5" customHeight="1" hidden="1">
      <c r="A181" s="13" t="s">
        <v>55</v>
      </c>
      <c r="B181" s="13"/>
      <c r="C181" s="248" t="s">
        <v>658</v>
      </c>
      <c r="D181" s="248" t="s">
        <v>103</v>
      </c>
      <c r="E181" s="249" t="s">
        <v>56</v>
      </c>
      <c r="F181" s="248"/>
      <c r="G181" s="250">
        <f>G182</f>
        <v>0</v>
      </c>
      <c r="I181" s="184"/>
    </row>
    <row r="182" spans="1:9" ht="25.5" hidden="1">
      <c r="A182" s="13" t="s">
        <v>232</v>
      </c>
      <c r="B182" s="13"/>
      <c r="C182" s="248" t="s">
        <v>658</v>
      </c>
      <c r="D182" s="248" t="s">
        <v>103</v>
      </c>
      <c r="E182" s="249" t="s">
        <v>56</v>
      </c>
      <c r="F182" s="248">
        <v>200</v>
      </c>
      <c r="G182" s="250"/>
      <c r="I182" s="184"/>
    </row>
    <row r="183" spans="1:9" ht="25.5" hidden="1">
      <c r="A183" s="28" t="s">
        <v>753</v>
      </c>
      <c r="B183" s="28"/>
      <c r="C183" s="248" t="s">
        <v>658</v>
      </c>
      <c r="D183" s="248" t="s">
        <v>103</v>
      </c>
      <c r="E183" s="249" t="s">
        <v>402</v>
      </c>
      <c r="F183" s="248"/>
      <c r="G183" s="250">
        <f>G184+G186+G188</f>
        <v>0</v>
      </c>
      <c r="I183" s="184"/>
    </row>
    <row r="184" spans="1:9" ht="38.25" hidden="1">
      <c r="A184" s="28" t="s">
        <v>57</v>
      </c>
      <c r="B184" s="28"/>
      <c r="C184" s="248" t="s">
        <v>658</v>
      </c>
      <c r="D184" s="248" t="s">
        <v>103</v>
      </c>
      <c r="E184" s="249" t="s">
        <v>58</v>
      </c>
      <c r="F184" s="248"/>
      <c r="G184" s="250">
        <f>G185</f>
        <v>0</v>
      </c>
      <c r="I184" s="184"/>
    </row>
    <row r="185" spans="1:9" ht="25.5" hidden="1">
      <c r="A185" s="13" t="s">
        <v>232</v>
      </c>
      <c r="B185" s="28"/>
      <c r="C185" s="248" t="s">
        <v>658</v>
      </c>
      <c r="D185" s="248" t="s">
        <v>103</v>
      </c>
      <c r="E185" s="249" t="s">
        <v>58</v>
      </c>
      <c r="F185" s="248">
        <v>200</v>
      </c>
      <c r="G185" s="250"/>
      <c r="I185" s="184"/>
    </row>
    <row r="186" spans="1:9" ht="51" hidden="1">
      <c r="A186" s="28" t="s">
        <v>59</v>
      </c>
      <c r="B186" s="28"/>
      <c r="C186" s="248" t="s">
        <v>658</v>
      </c>
      <c r="D186" s="248" t="s">
        <v>103</v>
      </c>
      <c r="E186" s="249" t="s">
        <v>60</v>
      </c>
      <c r="F186" s="248"/>
      <c r="G186" s="250">
        <f>G187</f>
        <v>0</v>
      </c>
      <c r="I186" s="184"/>
    </row>
    <row r="187" spans="1:9" ht="25.5" hidden="1">
      <c r="A187" s="13" t="s">
        <v>232</v>
      </c>
      <c r="B187" s="28"/>
      <c r="C187" s="248" t="s">
        <v>658</v>
      </c>
      <c r="D187" s="248" t="s">
        <v>103</v>
      </c>
      <c r="E187" s="249" t="s">
        <v>60</v>
      </c>
      <c r="F187" s="248">
        <v>200</v>
      </c>
      <c r="G187" s="250"/>
      <c r="I187" s="184"/>
    </row>
    <row r="188" spans="1:9" ht="38.25" hidden="1">
      <c r="A188" s="28" t="s">
        <v>61</v>
      </c>
      <c r="B188" s="28"/>
      <c r="C188" s="248" t="s">
        <v>658</v>
      </c>
      <c r="D188" s="248" t="s">
        <v>103</v>
      </c>
      <c r="E188" s="249" t="s">
        <v>62</v>
      </c>
      <c r="F188" s="248"/>
      <c r="G188" s="250">
        <f>G189</f>
        <v>0</v>
      </c>
      <c r="I188" s="184"/>
    </row>
    <row r="189" spans="1:9" ht="25.5" hidden="1">
      <c r="A189" s="246" t="s">
        <v>232</v>
      </c>
      <c r="B189" s="246"/>
      <c r="C189" s="244" t="s">
        <v>658</v>
      </c>
      <c r="D189" s="244" t="s">
        <v>103</v>
      </c>
      <c r="E189" s="245" t="s">
        <v>62</v>
      </c>
      <c r="F189" s="244">
        <v>200</v>
      </c>
      <c r="G189" s="243"/>
      <c r="I189" s="184"/>
    </row>
    <row r="190" spans="1:9" ht="12.75" hidden="1">
      <c r="A190" s="226" t="s">
        <v>331</v>
      </c>
      <c r="B190" s="297"/>
      <c r="C190" s="127" t="s">
        <v>539</v>
      </c>
      <c r="D190" s="128"/>
      <c r="E190" s="129"/>
      <c r="F190" s="128"/>
      <c r="G190" s="130">
        <f>G191</f>
        <v>0</v>
      </c>
      <c r="I190" s="184"/>
    </row>
    <row r="191" spans="1:9" ht="25.5" hidden="1">
      <c r="A191" s="78" t="s">
        <v>97</v>
      </c>
      <c r="B191" s="13"/>
      <c r="C191" s="89" t="s">
        <v>539</v>
      </c>
      <c r="D191" s="89" t="s">
        <v>658</v>
      </c>
      <c r="E191" s="72"/>
      <c r="F191" s="76"/>
      <c r="G191" s="80">
        <f>G192</f>
        <v>0</v>
      </c>
      <c r="I191" s="184"/>
    </row>
    <row r="192" spans="1:9" ht="63.75" hidden="1">
      <c r="A192" s="79" t="s">
        <v>483</v>
      </c>
      <c r="B192" s="13"/>
      <c r="C192" s="89" t="s">
        <v>539</v>
      </c>
      <c r="D192" s="89" t="s">
        <v>658</v>
      </c>
      <c r="E192" s="72" t="s">
        <v>34</v>
      </c>
      <c r="F192" s="76"/>
      <c r="G192" s="80">
        <f>G193</f>
        <v>0</v>
      </c>
      <c r="I192" s="184"/>
    </row>
    <row r="193" spans="1:9" ht="38.25" hidden="1">
      <c r="A193" s="75" t="s">
        <v>96</v>
      </c>
      <c r="B193" s="13"/>
      <c r="C193" s="89" t="s">
        <v>539</v>
      </c>
      <c r="D193" s="89" t="s">
        <v>658</v>
      </c>
      <c r="E193" s="86" t="s">
        <v>332</v>
      </c>
      <c r="F193" s="76"/>
      <c r="G193" s="80">
        <f>G194</f>
        <v>0</v>
      </c>
      <c r="I193" s="184"/>
    </row>
    <row r="194" spans="1:9" ht="25.5" hidden="1">
      <c r="A194" s="26" t="s">
        <v>333</v>
      </c>
      <c r="B194" s="13"/>
      <c r="C194" s="89" t="s">
        <v>539</v>
      </c>
      <c r="D194" s="89" t="s">
        <v>658</v>
      </c>
      <c r="E194" s="72" t="s">
        <v>334</v>
      </c>
      <c r="F194" s="76"/>
      <c r="G194" s="80">
        <f>G195</f>
        <v>0</v>
      </c>
      <c r="I194" s="184"/>
    </row>
    <row r="195" spans="1:9" ht="25.5" hidden="1">
      <c r="A195" s="83" t="s">
        <v>232</v>
      </c>
      <c r="B195" s="246"/>
      <c r="C195" s="131" t="s">
        <v>539</v>
      </c>
      <c r="D195" s="131" t="s">
        <v>658</v>
      </c>
      <c r="E195" s="88" t="s">
        <v>334</v>
      </c>
      <c r="F195" s="84">
        <v>200</v>
      </c>
      <c r="G195" s="126"/>
      <c r="I195" s="184"/>
    </row>
    <row r="196" spans="1:9" ht="12.75">
      <c r="A196" s="226" t="s">
        <v>566</v>
      </c>
      <c r="B196" s="226"/>
      <c r="C196" s="224" t="s">
        <v>659</v>
      </c>
      <c r="D196" s="271" t="s">
        <v>466</v>
      </c>
      <c r="E196" s="224" t="s">
        <v>89</v>
      </c>
      <c r="F196" s="224" t="s">
        <v>89</v>
      </c>
      <c r="G196" s="223">
        <f>G197+G210+G244+G253+G268</f>
        <v>264116687.8</v>
      </c>
      <c r="I196" s="184"/>
    </row>
    <row r="197" spans="1:9" ht="12.75">
      <c r="A197" s="269" t="s">
        <v>567</v>
      </c>
      <c r="B197" s="269"/>
      <c r="C197" s="268" t="s">
        <v>659</v>
      </c>
      <c r="D197" s="268" t="s">
        <v>535</v>
      </c>
      <c r="E197" s="268" t="s">
        <v>89</v>
      </c>
      <c r="F197" s="268" t="s">
        <v>89</v>
      </c>
      <c r="G197" s="250">
        <f>G198</f>
        <v>94927125.77</v>
      </c>
      <c r="I197" s="184"/>
    </row>
    <row r="198" spans="1:9" ht="38.25">
      <c r="A198" s="266" t="s">
        <v>281</v>
      </c>
      <c r="B198" s="266"/>
      <c r="C198" s="248" t="s">
        <v>659</v>
      </c>
      <c r="D198" s="248" t="s">
        <v>535</v>
      </c>
      <c r="E198" s="249" t="s">
        <v>562</v>
      </c>
      <c r="F198" s="248" t="s">
        <v>89</v>
      </c>
      <c r="G198" s="250">
        <f>G199</f>
        <v>94927125.77</v>
      </c>
      <c r="I198" s="184"/>
    </row>
    <row r="199" spans="1:9" ht="51">
      <c r="A199" s="12" t="s">
        <v>282</v>
      </c>
      <c r="B199" s="12"/>
      <c r="C199" s="248" t="s">
        <v>659</v>
      </c>
      <c r="D199" s="248" t="s">
        <v>535</v>
      </c>
      <c r="E199" s="252" t="s">
        <v>563</v>
      </c>
      <c r="F199" s="251" t="s">
        <v>89</v>
      </c>
      <c r="G199" s="250">
        <f>G200</f>
        <v>94927125.77</v>
      </c>
      <c r="I199" s="184"/>
    </row>
    <row r="200" spans="1:9" ht="25.5">
      <c r="A200" s="17" t="s">
        <v>460</v>
      </c>
      <c r="B200" s="17"/>
      <c r="C200" s="248" t="s">
        <v>659</v>
      </c>
      <c r="D200" s="248" t="s">
        <v>535</v>
      </c>
      <c r="E200" s="249" t="s">
        <v>564</v>
      </c>
      <c r="F200" s="251"/>
      <c r="G200" s="250">
        <f>G201+G204+G208</f>
        <v>94927125.77</v>
      </c>
      <c r="I200" s="184"/>
    </row>
    <row r="201" spans="1:9" ht="102">
      <c r="A201" s="13" t="s">
        <v>302</v>
      </c>
      <c r="B201" s="13"/>
      <c r="C201" s="248" t="s">
        <v>659</v>
      </c>
      <c r="D201" s="248" t="s">
        <v>535</v>
      </c>
      <c r="E201" s="249" t="s">
        <v>303</v>
      </c>
      <c r="F201" s="248" t="s">
        <v>89</v>
      </c>
      <c r="G201" s="250">
        <f>SUM(G202:G203)</f>
        <v>55488082</v>
      </c>
      <c r="I201" s="184"/>
    </row>
    <row r="202" spans="1:9" ht="63.75">
      <c r="A202" s="13" t="s">
        <v>740</v>
      </c>
      <c r="B202" s="13"/>
      <c r="C202" s="248" t="s">
        <v>659</v>
      </c>
      <c r="D202" s="248" t="s">
        <v>535</v>
      </c>
      <c r="E202" s="249" t="s">
        <v>303</v>
      </c>
      <c r="F202" s="248" t="s">
        <v>597</v>
      </c>
      <c r="G202" s="247">
        <v>55063202</v>
      </c>
      <c r="I202" s="184"/>
    </row>
    <row r="203" spans="1:9" ht="25.5">
      <c r="A203" s="13" t="s">
        <v>232</v>
      </c>
      <c r="B203" s="13"/>
      <c r="C203" s="248" t="s">
        <v>659</v>
      </c>
      <c r="D203" s="248" t="s">
        <v>535</v>
      </c>
      <c r="E203" s="249" t="s">
        <v>303</v>
      </c>
      <c r="F203" s="248" t="s">
        <v>76</v>
      </c>
      <c r="G203" s="247">
        <v>424880</v>
      </c>
      <c r="I203" s="184"/>
    </row>
    <row r="204" spans="1:9" ht="25.5">
      <c r="A204" s="251" t="s">
        <v>498</v>
      </c>
      <c r="B204" s="251"/>
      <c r="C204" s="248" t="s">
        <v>659</v>
      </c>
      <c r="D204" s="248" t="s">
        <v>535</v>
      </c>
      <c r="E204" s="249" t="s">
        <v>304</v>
      </c>
      <c r="F204" s="248"/>
      <c r="G204" s="250">
        <f>SUM(G205:G207)</f>
        <v>39439043.769999996</v>
      </c>
      <c r="I204" s="184"/>
    </row>
    <row r="205" spans="1:9" ht="63.75">
      <c r="A205" s="13" t="s">
        <v>740</v>
      </c>
      <c r="B205" s="13"/>
      <c r="C205" s="248" t="s">
        <v>659</v>
      </c>
      <c r="D205" s="248" t="s">
        <v>535</v>
      </c>
      <c r="E205" s="249" t="s">
        <v>304</v>
      </c>
      <c r="F205" s="248">
        <v>100</v>
      </c>
      <c r="G205" s="247">
        <v>17454564</v>
      </c>
      <c r="I205" s="184"/>
    </row>
    <row r="206" spans="1:9" ht="25.5">
      <c r="A206" s="13" t="s">
        <v>232</v>
      </c>
      <c r="B206" s="13"/>
      <c r="C206" s="248" t="s">
        <v>659</v>
      </c>
      <c r="D206" s="248" t="s">
        <v>535</v>
      </c>
      <c r="E206" s="249" t="s">
        <v>304</v>
      </c>
      <c r="F206" s="248">
        <v>200</v>
      </c>
      <c r="G206" s="247">
        <v>19704648.77</v>
      </c>
      <c r="I206" s="184"/>
    </row>
    <row r="207" spans="1:9" ht="12.75">
      <c r="A207" s="13" t="s">
        <v>79</v>
      </c>
      <c r="B207" s="13"/>
      <c r="C207" s="248" t="s">
        <v>659</v>
      </c>
      <c r="D207" s="248" t="s">
        <v>535</v>
      </c>
      <c r="E207" s="249" t="s">
        <v>304</v>
      </c>
      <c r="F207" s="248">
        <v>800</v>
      </c>
      <c r="G207" s="247">
        <v>2279831</v>
      </c>
      <c r="I207" s="184"/>
    </row>
    <row r="208" spans="1:9" ht="38.25" hidden="1">
      <c r="A208" s="215" t="s">
        <v>153</v>
      </c>
      <c r="B208" s="13"/>
      <c r="C208" s="213" t="s">
        <v>659</v>
      </c>
      <c r="D208" s="213" t="s">
        <v>535</v>
      </c>
      <c r="E208" s="214" t="s">
        <v>154</v>
      </c>
      <c r="F208" s="213"/>
      <c r="G208" s="247">
        <f>G209</f>
        <v>0</v>
      </c>
      <c r="I208" s="184"/>
    </row>
    <row r="209" spans="1:9" ht="25.5" hidden="1">
      <c r="A209" s="161" t="s">
        <v>155</v>
      </c>
      <c r="B209" s="13"/>
      <c r="C209" s="213" t="s">
        <v>659</v>
      </c>
      <c r="D209" s="213" t="s">
        <v>535</v>
      </c>
      <c r="E209" s="214" t="s">
        <v>154</v>
      </c>
      <c r="F209" s="213">
        <v>200</v>
      </c>
      <c r="G209" s="247"/>
      <c r="I209" s="184"/>
    </row>
    <row r="210" spans="1:9" ht="12.75">
      <c r="A210" s="269" t="s">
        <v>568</v>
      </c>
      <c r="B210" s="269"/>
      <c r="C210" s="268" t="s">
        <v>659</v>
      </c>
      <c r="D210" s="268" t="s">
        <v>537</v>
      </c>
      <c r="E210" s="268" t="s">
        <v>89</v>
      </c>
      <c r="F210" s="268" t="s">
        <v>89</v>
      </c>
      <c r="G210" s="250">
        <f>G211</f>
        <v>141612136.03</v>
      </c>
      <c r="I210" s="184"/>
    </row>
    <row r="211" spans="1:9" ht="38.25">
      <c r="A211" s="266" t="s">
        <v>283</v>
      </c>
      <c r="B211" s="266"/>
      <c r="C211" s="248" t="s">
        <v>659</v>
      </c>
      <c r="D211" s="248" t="s">
        <v>537</v>
      </c>
      <c r="E211" s="249" t="s">
        <v>562</v>
      </c>
      <c r="F211" s="248" t="s">
        <v>89</v>
      </c>
      <c r="G211" s="250">
        <f>G212+G240</f>
        <v>141612136.03</v>
      </c>
      <c r="I211" s="184"/>
    </row>
    <row r="212" spans="1:9" ht="51">
      <c r="A212" s="12" t="s">
        <v>282</v>
      </c>
      <c r="B212" s="12"/>
      <c r="C212" s="248" t="s">
        <v>659</v>
      </c>
      <c r="D212" s="248" t="s">
        <v>537</v>
      </c>
      <c r="E212" s="249" t="s">
        <v>563</v>
      </c>
      <c r="F212" s="251" t="s">
        <v>89</v>
      </c>
      <c r="G212" s="250">
        <f>G213+G218+G237</f>
        <v>137832136.03</v>
      </c>
      <c r="I212" s="184"/>
    </row>
    <row r="213" spans="1:9" ht="25.5">
      <c r="A213" s="17" t="s">
        <v>462</v>
      </c>
      <c r="B213" s="17"/>
      <c r="C213" s="248" t="s">
        <v>659</v>
      </c>
      <c r="D213" s="248" t="s">
        <v>537</v>
      </c>
      <c r="E213" s="249" t="s">
        <v>305</v>
      </c>
      <c r="F213" s="251"/>
      <c r="G213" s="250">
        <f>G214+G216</f>
        <v>111415026</v>
      </c>
      <c r="I213" s="184"/>
    </row>
    <row r="214" spans="1:9" ht="102">
      <c r="A214" s="13" t="s">
        <v>686</v>
      </c>
      <c r="B214" s="13"/>
      <c r="C214" s="248" t="s">
        <v>659</v>
      </c>
      <c r="D214" s="248" t="s">
        <v>537</v>
      </c>
      <c r="E214" s="249" t="s">
        <v>306</v>
      </c>
      <c r="F214" s="248" t="s">
        <v>89</v>
      </c>
      <c r="G214" s="250">
        <f>G215</f>
        <v>96274514</v>
      </c>
      <c r="I214" s="184"/>
    </row>
    <row r="215" spans="1:9" ht="38.25">
      <c r="A215" s="13" t="s">
        <v>92</v>
      </c>
      <c r="B215" s="13"/>
      <c r="C215" s="248" t="s">
        <v>659</v>
      </c>
      <c r="D215" s="248" t="s">
        <v>537</v>
      </c>
      <c r="E215" s="249" t="s">
        <v>306</v>
      </c>
      <c r="F215" s="248">
        <v>600</v>
      </c>
      <c r="G215" s="247">
        <v>96274514</v>
      </c>
      <c r="I215" s="184"/>
    </row>
    <row r="216" spans="1:9" ht="25.5">
      <c r="A216" s="251" t="s">
        <v>498</v>
      </c>
      <c r="B216" s="251"/>
      <c r="C216" s="248" t="s">
        <v>659</v>
      </c>
      <c r="D216" s="248" t="s">
        <v>537</v>
      </c>
      <c r="E216" s="249" t="s">
        <v>307</v>
      </c>
      <c r="F216" s="248"/>
      <c r="G216" s="250">
        <f>G217</f>
        <v>15140512</v>
      </c>
      <c r="I216" s="184"/>
    </row>
    <row r="217" spans="1:9" ht="38.25">
      <c r="A217" s="13" t="s">
        <v>92</v>
      </c>
      <c r="B217" s="13"/>
      <c r="C217" s="248" t="s">
        <v>659</v>
      </c>
      <c r="D217" s="248" t="s">
        <v>537</v>
      </c>
      <c r="E217" s="249" t="s">
        <v>307</v>
      </c>
      <c r="F217" s="248">
        <v>600</v>
      </c>
      <c r="G217" s="247">
        <v>15140512</v>
      </c>
      <c r="I217" s="184"/>
    </row>
    <row r="218" spans="1:9" ht="25.5">
      <c r="A218" s="26" t="s">
        <v>463</v>
      </c>
      <c r="B218" s="26"/>
      <c r="C218" s="295" t="s">
        <v>659</v>
      </c>
      <c r="D218" s="295" t="s">
        <v>537</v>
      </c>
      <c r="E218" s="285" t="s">
        <v>308</v>
      </c>
      <c r="F218" s="248"/>
      <c r="G218" s="247">
        <f>G219+G223+G225+G227+G235+G230+G232+G221</f>
        <v>26417110.03</v>
      </c>
      <c r="I218" s="184"/>
    </row>
    <row r="219" spans="1:9" ht="51">
      <c r="A219" s="26" t="s">
        <v>400</v>
      </c>
      <c r="B219" s="26"/>
      <c r="C219" s="248" t="s">
        <v>659</v>
      </c>
      <c r="D219" s="248" t="s">
        <v>537</v>
      </c>
      <c r="E219" s="249" t="s">
        <v>401</v>
      </c>
      <c r="F219" s="248"/>
      <c r="G219" s="247">
        <f>G220</f>
        <v>6257471</v>
      </c>
      <c r="I219" s="184"/>
    </row>
    <row r="220" spans="1:9" ht="38.25">
      <c r="A220" s="13" t="s">
        <v>92</v>
      </c>
      <c r="B220" s="26"/>
      <c r="C220" s="248" t="s">
        <v>659</v>
      </c>
      <c r="D220" s="248" t="s">
        <v>537</v>
      </c>
      <c r="E220" s="249" t="s">
        <v>401</v>
      </c>
      <c r="F220" s="248">
        <v>600</v>
      </c>
      <c r="G220" s="247">
        <v>6257471</v>
      </c>
      <c r="I220" s="184"/>
    </row>
    <row r="221" spans="1:9" ht="25.5">
      <c r="A221" s="74" t="s">
        <v>724</v>
      </c>
      <c r="B221" s="26"/>
      <c r="C221" s="191" t="s">
        <v>659</v>
      </c>
      <c r="D221" s="191" t="s">
        <v>537</v>
      </c>
      <c r="E221" s="192" t="s">
        <v>725</v>
      </c>
      <c r="F221" s="191"/>
      <c r="G221" s="190">
        <f>G222</f>
        <v>2355150.03</v>
      </c>
      <c r="I221" s="184"/>
    </row>
    <row r="222" spans="1:9" ht="38.25">
      <c r="A222" s="203" t="s">
        <v>92</v>
      </c>
      <c r="B222" s="26"/>
      <c r="C222" s="191" t="s">
        <v>659</v>
      </c>
      <c r="D222" s="191" t="s">
        <v>537</v>
      </c>
      <c r="E222" s="192" t="s">
        <v>725</v>
      </c>
      <c r="F222" s="191">
        <v>600</v>
      </c>
      <c r="G222" s="202">
        <v>2355150.03</v>
      </c>
      <c r="I222" s="184"/>
    </row>
    <row r="223" spans="1:9" ht="63.75">
      <c r="A223" s="73" t="s">
        <v>751</v>
      </c>
      <c r="B223" s="73"/>
      <c r="C223" s="295" t="s">
        <v>659</v>
      </c>
      <c r="D223" s="295" t="s">
        <v>537</v>
      </c>
      <c r="E223" s="285" t="s">
        <v>752</v>
      </c>
      <c r="F223" s="248"/>
      <c r="G223" s="250">
        <f>G224</f>
        <v>318065</v>
      </c>
      <c r="I223" s="184"/>
    </row>
    <row r="224" spans="1:9" ht="38.25">
      <c r="A224" s="287" t="s">
        <v>92</v>
      </c>
      <c r="B224" s="287"/>
      <c r="C224" s="295" t="s">
        <v>659</v>
      </c>
      <c r="D224" s="295" t="s">
        <v>537</v>
      </c>
      <c r="E224" s="285" t="s">
        <v>752</v>
      </c>
      <c r="F224" s="248">
        <v>600</v>
      </c>
      <c r="G224" s="247">
        <v>318065</v>
      </c>
      <c r="I224" s="184"/>
    </row>
    <row r="225" spans="1:9" ht="63.75">
      <c r="A225" s="25" t="s">
        <v>299</v>
      </c>
      <c r="B225" s="25"/>
      <c r="C225" s="295" t="s">
        <v>659</v>
      </c>
      <c r="D225" s="295" t="s">
        <v>537</v>
      </c>
      <c r="E225" s="285" t="s">
        <v>309</v>
      </c>
      <c r="F225" s="295"/>
      <c r="G225" s="250">
        <f>G226</f>
        <v>2127215</v>
      </c>
      <c r="I225" s="184"/>
    </row>
    <row r="226" spans="1:9" ht="38.25">
      <c r="A226" s="287" t="s">
        <v>92</v>
      </c>
      <c r="B226" s="287"/>
      <c r="C226" s="295" t="s">
        <v>659</v>
      </c>
      <c r="D226" s="295" t="s">
        <v>537</v>
      </c>
      <c r="E226" s="285" t="s">
        <v>309</v>
      </c>
      <c r="F226" s="295">
        <v>600</v>
      </c>
      <c r="G226" s="247">
        <v>2127215</v>
      </c>
      <c r="I226" s="184"/>
    </row>
    <row r="227" spans="1:9" ht="25.5">
      <c r="A227" s="251" t="s">
        <v>498</v>
      </c>
      <c r="B227" s="287"/>
      <c r="C227" s="248" t="s">
        <v>659</v>
      </c>
      <c r="D227" s="248" t="s">
        <v>537</v>
      </c>
      <c r="E227" s="249" t="s">
        <v>399</v>
      </c>
      <c r="F227" s="248"/>
      <c r="G227" s="247">
        <f>G228</f>
        <v>1500175</v>
      </c>
      <c r="I227" s="184"/>
    </row>
    <row r="228" spans="1:9" ht="38.25">
      <c r="A228" s="287" t="s">
        <v>92</v>
      </c>
      <c r="B228" s="287"/>
      <c r="C228" s="248" t="s">
        <v>659</v>
      </c>
      <c r="D228" s="248" t="s">
        <v>537</v>
      </c>
      <c r="E228" s="249" t="s">
        <v>399</v>
      </c>
      <c r="F228" s="248">
        <v>600</v>
      </c>
      <c r="G228" s="247">
        <v>1500175</v>
      </c>
      <c r="I228" s="184"/>
    </row>
    <row r="229" spans="1:9" ht="12.75">
      <c r="A229" s="482" t="s">
        <v>755</v>
      </c>
      <c r="B229" s="287"/>
      <c r="C229" s="213" t="s">
        <v>659</v>
      </c>
      <c r="D229" s="213" t="s">
        <v>537</v>
      </c>
      <c r="E229" s="214" t="s">
        <v>335</v>
      </c>
      <c r="F229" s="213"/>
      <c r="G229" s="202">
        <f>G230</f>
        <v>3423556</v>
      </c>
      <c r="I229" s="184"/>
    </row>
    <row r="230" spans="1:9" ht="76.5">
      <c r="A230" s="482" t="s">
        <v>905</v>
      </c>
      <c r="B230" s="287"/>
      <c r="C230" s="213" t="s">
        <v>659</v>
      </c>
      <c r="D230" s="213" t="s">
        <v>537</v>
      </c>
      <c r="E230" s="214" t="s">
        <v>336</v>
      </c>
      <c r="F230" s="213"/>
      <c r="G230" s="202">
        <f>G231</f>
        <v>3423556</v>
      </c>
      <c r="I230" s="184"/>
    </row>
    <row r="231" spans="1:9" ht="38.25">
      <c r="A231" s="388" t="s">
        <v>92</v>
      </c>
      <c r="B231" s="287"/>
      <c r="C231" s="213" t="s">
        <v>659</v>
      </c>
      <c r="D231" s="213" t="s">
        <v>537</v>
      </c>
      <c r="E231" s="214" t="s">
        <v>336</v>
      </c>
      <c r="F231" s="213">
        <v>600</v>
      </c>
      <c r="G231" s="202">
        <f>68470+3355086</f>
        <v>3423556</v>
      </c>
      <c r="I231" s="184"/>
    </row>
    <row r="232" spans="1:9" ht="25.5">
      <c r="A232" s="482" t="s">
        <v>110</v>
      </c>
      <c r="B232" s="287"/>
      <c r="C232" s="213" t="s">
        <v>659</v>
      </c>
      <c r="D232" s="213" t="s">
        <v>537</v>
      </c>
      <c r="E232" s="214" t="s">
        <v>64</v>
      </c>
      <c r="F232" s="213"/>
      <c r="G232" s="202">
        <f>G233</f>
        <v>3873398</v>
      </c>
      <c r="I232" s="184"/>
    </row>
    <row r="233" spans="1:9" ht="51">
      <c r="A233" s="482" t="s">
        <v>906</v>
      </c>
      <c r="B233" s="287"/>
      <c r="C233" s="213" t="s">
        <v>659</v>
      </c>
      <c r="D233" s="213" t="s">
        <v>537</v>
      </c>
      <c r="E233" s="214" t="s">
        <v>65</v>
      </c>
      <c r="F233" s="213"/>
      <c r="G233" s="202">
        <f>G234</f>
        <v>3873398</v>
      </c>
      <c r="I233" s="184"/>
    </row>
    <row r="234" spans="1:9" ht="38.25">
      <c r="A234" s="388" t="s">
        <v>92</v>
      </c>
      <c r="B234" s="287"/>
      <c r="C234" s="213" t="s">
        <v>659</v>
      </c>
      <c r="D234" s="213" t="s">
        <v>537</v>
      </c>
      <c r="E234" s="214" t="s">
        <v>65</v>
      </c>
      <c r="F234" s="213">
        <v>600</v>
      </c>
      <c r="G234" s="202">
        <f>77468+3795930</f>
        <v>3873398</v>
      </c>
      <c r="I234" s="184"/>
    </row>
    <row r="235" spans="1:9" ht="30" customHeight="1">
      <c r="A235" s="13" t="s">
        <v>513</v>
      </c>
      <c r="B235" s="287"/>
      <c r="C235" s="295" t="s">
        <v>659</v>
      </c>
      <c r="D235" s="295" t="s">
        <v>537</v>
      </c>
      <c r="E235" s="285" t="s">
        <v>514</v>
      </c>
      <c r="F235" s="248"/>
      <c r="G235" s="247">
        <f>G236</f>
        <v>6562080</v>
      </c>
      <c r="I235" s="184"/>
    </row>
    <row r="236" spans="1:9" ht="30" customHeight="1">
      <c r="A236" s="13" t="s">
        <v>92</v>
      </c>
      <c r="B236" s="287"/>
      <c r="C236" s="295" t="s">
        <v>659</v>
      </c>
      <c r="D236" s="295" t="s">
        <v>537</v>
      </c>
      <c r="E236" s="285" t="s">
        <v>514</v>
      </c>
      <c r="F236" s="248">
        <v>600</v>
      </c>
      <c r="G236" s="247">
        <v>6562080</v>
      </c>
      <c r="I236" s="184"/>
    </row>
    <row r="237" spans="1:9" ht="30" customHeight="1" hidden="1">
      <c r="A237" s="212" t="s">
        <v>110</v>
      </c>
      <c r="B237" s="287"/>
      <c r="C237" s="211" t="s">
        <v>659</v>
      </c>
      <c r="D237" s="211" t="s">
        <v>537</v>
      </c>
      <c r="E237" s="192" t="s">
        <v>64</v>
      </c>
      <c r="F237" s="211"/>
      <c r="G237" s="247">
        <f>G238</f>
        <v>0</v>
      </c>
      <c r="I237" s="184"/>
    </row>
    <row r="238" spans="1:9" ht="30" customHeight="1" hidden="1">
      <c r="A238" s="212" t="s">
        <v>498</v>
      </c>
      <c r="B238" s="287"/>
      <c r="C238" s="211" t="s">
        <v>659</v>
      </c>
      <c r="D238" s="211" t="s">
        <v>537</v>
      </c>
      <c r="E238" s="192" t="s">
        <v>881</v>
      </c>
      <c r="F238" s="211"/>
      <c r="G238" s="247">
        <f>G239</f>
        <v>0</v>
      </c>
      <c r="I238" s="184"/>
    </row>
    <row r="239" spans="1:9" ht="30" customHeight="1" hidden="1">
      <c r="A239" s="209" t="s">
        <v>92</v>
      </c>
      <c r="B239" s="287"/>
      <c r="C239" s="211" t="s">
        <v>659</v>
      </c>
      <c r="D239" s="211" t="s">
        <v>537</v>
      </c>
      <c r="E239" s="192" t="s">
        <v>881</v>
      </c>
      <c r="F239" s="211">
        <v>600</v>
      </c>
      <c r="G239" s="247"/>
      <c r="I239" s="184"/>
    </row>
    <row r="240" spans="1:9" ht="30" customHeight="1">
      <c r="A240" s="117" t="s">
        <v>469</v>
      </c>
      <c r="B240" s="287"/>
      <c r="C240" s="191" t="s">
        <v>659</v>
      </c>
      <c r="D240" s="191" t="s">
        <v>537</v>
      </c>
      <c r="E240" s="192" t="s">
        <v>470</v>
      </c>
      <c r="F240" s="191"/>
      <c r="G240" s="202">
        <f>G241</f>
        <v>3780000</v>
      </c>
      <c r="I240" s="184"/>
    </row>
    <row r="241" spans="1:9" ht="30" customHeight="1">
      <c r="A241" s="203" t="s">
        <v>512</v>
      </c>
      <c r="B241" s="287"/>
      <c r="C241" s="191" t="s">
        <v>659</v>
      </c>
      <c r="D241" s="191" t="s">
        <v>537</v>
      </c>
      <c r="E241" s="192" t="s">
        <v>471</v>
      </c>
      <c r="F241" s="191"/>
      <c r="G241" s="202">
        <f>G242</f>
        <v>3780000</v>
      </c>
      <c r="I241" s="184"/>
    </row>
    <row r="242" spans="1:9" ht="30" customHeight="1">
      <c r="A242" s="28" t="s">
        <v>223</v>
      </c>
      <c r="B242" s="287"/>
      <c r="C242" s="191" t="s">
        <v>659</v>
      </c>
      <c r="D242" s="191" t="s">
        <v>537</v>
      </c>
      <c r="E242" s="192" t="s">
        <v>472</v>
      </c>
      <c r="F242" s="191"/>
      <c r="G242" s="202">
        <f>G243</f>
        <v>3780000</v>
      </c>
      <c r="I242" s="184"/>
    </row>
    <row r="243" spans="1:9" ht="30" customHeight="1">
      <c r="A243" s="203" t="s">
        <v>225</v>
      </c>
      <c r="B243" s="287"/>
      <c r="C243" s="191" t="s">
        <v>659</v>
      </c>
      <c r="D243" s="191" t="s">
        <v>537</v>
      </c>
      <c r="E243" s="192" t="s">
        <v>472</v>
      </c>
      <c r="F243" s="191">
        <v>400</v>
      </c>
      <c r="G243" s="202">
        <v>3780000</v>
      </c>
      <c r="I243" s="184"/>
    </row>
    <row r="244" spans="1:9" ht="30" customHeight="1">
      <c r="A244" s="24" t="s">
        <v>43</v>
      </c>
      <c r="B244" s="24"/>
      <c r="C244" s="295" t="s">
        <v>659</v>
      </c>
      <c r="D244" s="286" t="s">
        <v>103</v>
      </c>
      <c r="E244" s="285"/>
      <c r="F244" s="295"/>
      <c r="G244" s="250">
        <f>G245</f>
        <v>16892835</v>
      </c>
      <c r="I244" s="184"/>
    </row>
    <row r="245" spans="1:9" ht="38.25">
      <c r="A245" s="266" t="s">
        <v>281</v>
      </c>
      <c r="B245" s="266"/>
      <c r="C245" s="248" t="s">
        <v>659</v>
      </c>
      <c r="D245" s="283" t="s">
        <v>103</v>
      </c>
      <c r="E245" s="249" t="s">
        <v>562</v>
      </c>
      <c r="F245" s="248"/>
      <c r="G245" s="250">
        <f>G246</f>
        <v>16892835</v>
      </c>
      <c r="I245" s="184"/>
    </row>
    <row r="246" spans="1:9" ht="51">
      <c r="A246" s="12" t="s">
        <v>712</v>
      </c>
      <c r="B246" s="12"/>
      <c r="C246" s="248" t="s">
        <v>659</v>
      </c>
      <c r="D246" s="283" t="s">
        <v>103</v>
      </c>
      <c r="E246" s="252" t="s">
        <v>310</v>
      </c>
      <c r="F246" s="251" t="s">
        <v>89</v>
      </c>
      <c r="G246" s="250">
        <f>G247+G250</f>
        <v>16892835</v>
      </c>
      <c r="I246" s="184"/>
    </row>
    <row r="247" spans="1:9" ht="38.25">
      <c r="A247" s="17" t="s">
        <v>464</v>
      </c>
      <c r="B247" s="17"/>
      <c r="C247" s="248" t="s">
        <v>659</v>
      </c>
      <c r="D247" s="283" t="s">
        <v>103</v>
      </c>
      <c r="E247" s="249" t="s">
        <v>311</v>
      </c>
      <c r="F247" s="251"/>
      <c r="G247" s="250">
        <f>G248</f>
        <v>16892835</v>
      </c>
      <c r="I247" s="184"/>
    </row>
    <row r="248" spans="1:9" ht="25.5">
      <c r="A248" s="251" t="s">
        <v>498</v>
      </c>
      <c r="B248" s="251"/>
      <c r="C248" s="248" t="s">
        <v>659</v>
      </c>
      <c r="D248" s="283" t="s">
        <v>103</v>
      </c>
      <c r="E248" s="249" t="s">
        <v>312</v>
      </c>
      <c r="F248" s="248" t="s">
        <v>89</v>
      </c>
      <c r="G248" s="250">
        <f>G249</f>
        <v>16892835</v>
      </c>
      <c r="I248" s="184"/>
    </row>
    <row r="249" spans="1:9" ht="38.25">
      <c r="A249" s="287" t="s">
        <v>92</v>
      </c>
      <c r="B249" s="13"/>
      <c r="C249" s="248" t="s">
        <v>659</v>
      </c>
      <c r="D249" s="283" t="s">
        <v>103</v>
      </c>
      <c r="E249" s="249" t="s">
        <v>312</v>
      </c>
      <c r="F249" s="248">
        <v>600</v>
      </c>
      <c r="G249" s="247">
        <v>16892835</v>
      </c>
      <c r="I249" s="184"/>
    </row>
    <row r="250" spans="1:9" ht="12.75" hidden="1">
      <c r="A250" s="296" t="s">
        <v>109</v>
      </c>
      <c r="B250" s="296"/>
      <c r="C250" s="248" t="s">
        <v>659</v>
      </c>
      <c r="D250" s="283" t="s">
        <v>103</v>
      </c>
      <c r="E250" s="249" t="s">
        <v>708</v>
      </c>
      <c r="F250" s="295"/>
      <c r="G250" s="250">
        <f>G251</f>
        <v>0</v>
      </c>
      <c r="I250" s="184"/>
    </row>
    <row r="251" spans="1:9" ht="51" hidden="1">
      <c r="A251" s="296" t="s">
        <v>771</v>
      </c>
      <c r="B251" s="296"/>
      <c r="C251" s="248" t="s">
        <v>659</v>
      </c>
      <c r="D251" s="283" t="s">
        <v>103</v>
      </c>
      <c r="E251" s="249" t="s">
        <v>709</v>
      </c>
      <c r="F251" s="295"/>
      <c r="G251" s="250">
        <f>G252</f>
        <v>0</v>
      </c>
      <c r="I251" s="184"/>
    </row>
    <row r="252" spans="1:9" ht="38.25" hidden="1">
      <c r="A252" s="287" t="s">
        <v>92</v>
      </c>
      <c r="B252" s="13"/>
      <c r="C252" s="248" t="s">
        <v>659</v>
      </c>
      <c r="D252" s="283" t="s">
        <v>103</v>
      </c>
      <c r="E252" s="249" t="s">
        <v>709</v>
      </c>
      <c r="F252" s="248">
        <v>600</v>
      </c>
      <c r="G252" s="247"/>
      <c r="I252" s="184"/>
    </row>
    <row r="253" spans="1:9" ht="12.75">
      <c r="A253" s="269" t="s">
        <v>44</v>
      </c>
      <c r="B253" s="269"/>
      <c r="C253" s="268" t="s">
        <v>659</v>
      </c>
      <c r="D253" s="268" t="s">
        <v>659</v>
      </c>
      <c r="E253" s="268" t="s">
        <v>89</v>
      </c>
      <c r="F253" s="268" t="s">
        <v>89</v>
      </c>
      <c r="G253" s="250">
        <f>G254</f>
        <v>2644600</v>
      </c>
      <c r="I253" s="184"/>
    </row>
    <row r="254" spans="1:9" ht="63.75">
      <c r="A254" s="266" t="s">
        <v>442</v>
      </c>
      <c r="B254" s="266"/>
      <c r="C254" s="248" t="s">
        <v>659</v>
      </c>
      <c r="D254" s="248" t="s">
        <v>659</v>
      </c>
      <c r="E254" s="249" t="s">
        <v>441</v>
      </c>
      <c r="F254" s="248" t="s">
        <v>89</v>
      </c>
      <c r="G254" s="250">
        <f>G255</f>
        <v>2644600</v>
      </c>
      <c r="I254" s="184"/>
    </row>
    <row r="255" spans="1:9" ht="89.25">
      <c r="A255" s="12" t="s">
        <v>356</v>
      </c>
      <c r="B255" s="12"/>
      <c r="C255" s="248" t="s">
        <v>659</v>
      </c>
      <c r="D255" s="248" t="s">
        <v>659</v>
      </c>
      <c r="E255" s="252" t="s">
        <v>492</v>
      </c>
      <c r="F255" s="251" t="s">
        <v>89</v>
      </c>
      <c r="G255" s="250">
        <f>G256+G265</f>
        <v>2644600</v>
      </c>
      <c r="I255" s="184"/>
    </row>
    <row r="256" spans="1:9" ht="25.5">
      <c r="A256" s="20" t="s">
        <v>491</v>
      </c>
      <c r="B256" s="20"/>
      <c r="C256" s="248" t="s">
        <v>659</v>
      </c>
      <c r="D256" s="248" t="s">
        <v>659</v>
      </c>
      <c r="E256" s="249" t="s">
        <v>490</v>
      </c>
      <c r="F256" s="251"/>
      <c r="G256" s="250">
        <f>G259+G262+G257</f>
        <v>2554600</v>
      </c>
      <c r="I256" s="184"/>
    </row>
    <row r="257" spans="1:9" ht="12.75">
      <c r="A257" s="17" t="s">
        <v>489</v>
      </c>
      <c r="B257" s="20"/>
      <c r="C257" s="191" t="s">
        <v>659</v>
      </c>
      <c r="D257" s="191" t="s">
        <v>659</v>
      </c>
      <c r="E257" s="192" t="s">
        <v>488</v>
      </c>
      <c r="F257" s="193"/>
      <c r="G257" s="250">
        <f>G258</f>
        <v>7000</v>
      </c>
      <c r="I257" s="184"/>
    </row>
    <row r="258" spans="1:9" ht="38.25">
      <c r="A258" s="203" t="s">
        <v>92</v>
      </c>
      <c r="B258" s="20"/>
      <c r="C258" s="191" t="s">
        <v>659</v>
      </c>
      <c r="D258" s="191" t="s">
        <v>659</v>
      </c>
      <c r="E258" s="192" t="s">
        <v>488</v>
      </c>
      <c r="F258" s="193">
        <v>600</v>
      </c>
      <c r="G258" s="250">
        <v>7000</v>
      </c>
      <c r="I258" s="184"/>
    </row>
    <row r="259" spans="1:9" ht="12.75">
      <c r="A259" s="74" t="s">
        <v>639</v>
      </c>
      <c r="B259" s="74"/>
      <c r="C259" s="248" t="s">
        <v>659</v>
      </c>
      <c r="D259" s="248" t="s">
        <v>659</v>
      </c>
      <c r="E259" s="249" t="s">
        <v>640</v>
      </c>
      <c r="F259" s="251"/>
      <c r="G259" s="250">
        <f>SUM(G260:G261)</f>
        <v>993564</v>
      </c>
      <c r="I259" s="184"/>
    </row>
    <row r="260" spans="1:9" ht="25.5">
      <c r="A260" s="13" t="s">
        <v>83</v>
      </c>
      <c r="B260" s="13"/>
      <c r="C260" s="248" t="s">
        <v>659</v>
      </c>
      <c r="D260" s="248" t="s">
        <v>659</v>
      </c>
      <c r="E260" s="249" t="s">
        <v>640</v>
      </c>
      <c r="F260" s="251">
        <v>300</v>
      </c>
      <c r="G260" s="247">
        <v>442037</v>
      </c>
      <c r="I260" s="184"/>
    </row>
    <row r="261" spans="1:9" ht="38.25">
      <c r="A261" s="13" t="s">
        <v>92</v>
      </c>
      <c r="B261" s="13"/>
      <c r="C261" s="248" t="s">
        <v>659</v>
      </c>
      <c r="D261" s="248" t="s">
        <v>659</v>
      </c>
      <c r="E261" s="249" t="s">
        <v>640</v>
      </c>
      <c r="F261" s="251">
        <v>600</v>
      </c>
      <c r="G261" s="247">
        <v>551527</v>
      </c>
      <c r="I261" s="184"/>
    </row>
    <row r="262" spans="1:9" ht="25.5">
      <c r="A262" s="25" t="s">
        <v>499</v>
      </c>
      <c r="B262" s="25"/>
      <c r="C262" s="248" t="s">
        <v>659</v>
      </c>
      <c r="D262" s="248" t="s">
        <v>659</v>
      </c>
      <c r="E262" s="249" t="s">
        <v>285</v>
      </c>
      <c r="F262" s="251"/>
      <c r="G262" s="250">
        <f>SUM(G263:G264)</f>
        <v>1554036</v>
      </c>
      <c r="I262" s="184"/>
    </row>
    <row r="263" spans="1:9" ht="25.5">
      <c r="A263" s="13" t="s">
        <v>83</v>
      </c>
      <c r="B263" s="13"/>
      <c r="C263" s="248" t="s">
        <v>659</v>
      </c>
      <c r="D263" s="248" t="s">
        <v>659</v>
      </c>
      <c r="E263" s="249" t="s">
        <v>285</v>
      </c>
      <c r="F263" s="251">
        <v>300</v>
      </c>
      <c r="G263" s="247">
        <v>691391</v>
      </c>
      <c r="I263" s="184"/>
    </row>
    <row r="264" spans="1:9" ht="38.25">
      <c r="A264" s="13" t="s">
        <v>92</v>
      </c>
      <c r="B264" s="13"/>
      <c r="C264" s="248" t="s">
        <v>659</v>
      </c>
      <c r="D264" s="248" t="s">
        <v>659</v>
      </c>
      <c r="E264" s="249" t="s">
        <v>285</v>
      </c>
      <c r="F264" s="251">
        <v>600</v>
      </c>
      <c r="G264" s="247">
        <v>862645</v>
      </c>
      <c r="I264" s="184"/>
    </row>
    <row r="265" spans="1:9" ht="51">
      <c r="A265" s="21" t="s">
        <v>757</v>
      </c>
      <c r="B265" s="21"/>
      <c r="C265" s="295" t="s">
        <v>659</v>
      </c>
      <c r="D265" s="295" t="s">
        <v>659</v>
      </c>
      <c r="E265" s="285" t="s">
        <v>758</v>
      </c>
      <c r="F265" s="284"/>
      <c r="G265" s="250">
        <f>G266</f>
        <v>90000</v>
      </c>
      <c r="I265" s="184"/>
    </row>
    <row r="266" spans="1:9" ht="25.5">
      <c r="A266" s="21" t="s">
        <v>760</v>
      </c>
      <c r="B266" s="21"/>
      <c r="C266" s="295" t="s">
        <v>659</v>
      </c>
      <c r="D266" s="295" t="s">
        <v>659</v>
      </c>
      <c r="E266" s="285" t="s">
        <v>759</v>
      </c>
      <c r="F266" s="284"/>
      <c r="G266" s="250">
        <f>G267</f>
        <v>90000</v>
      </c>
      <c r="I266" s="184"/>
    </row>
    <row r="267" spans="1:9" ht="25.5">
      <c r="A267" s="287" t="s">
        <v>232</v>
      </c>
      <c r="B267" s="287"/>
      <c r="C267" s="295" t="s">
        <v>659</v>
      </c>
      <c r="D267" s="295" t="s">
        <v>659</v>
      </c>
      <c r="E267" s="285" t="s">
        <v>759</v>
      </c>
      <c r="F267" s="284">
        <v>200</v>
      </c>
      <c r="G267" s="247">
        <v>90000</v>
      </c>
      <c r="I267" s="184"/>
    </row>
    <row r="268" spans="1:9" ht="12.75">
      <c r="A268" s="275" t="s">
        <v>569</v>
      </c>
      <c r="B268" s="275"/>
      <c r="C268" s="274" t="s">
        <v>659</v>
      </c>
      <c r="D268" s="274" t="s">
        <v>104</v>
      </c>
      <c r="E268" s="274" t="s">
        <v>89</v>
      </c>
      <c r="F268" s="274" t="s">
        <v>89</v>
      </c>
      <c r="G268" s="250">
        <f>G269</f>
        <v>8039991</v>
      </c>
      <c r="I268" s="184"/>
    </row>
    <row r="269" spans="1:9" ht="38.25">
      <c r="A269" s="266" t="s">
        <v>283</v>
      </c>
      <c r="B269" s="266"/>
      <c r="C269" s="248" t="s">
        <v>659</v>
      </c>
      <c r="D269" s="248" t="s">
        <v>104</v>
      </c>
      <c r="E269" s="249" t="s">
        <v>562</v>
      </c>
      <c r="F269" s="248" t="s">
        <v>89</v>
      </c>
      <c r="G269" s="250">
        <f>G270</f>
        <v>8039991</v>
      </c>
      <c r="I269" s="184"/>
    </row>
    <row r="270" spans="1:9" ht="51">
      <c r="A270" s="12" t="s">
        <v>713</v>
      </c>
      <c r="B270" s="12"/>
      <c r="C270" s="248" t="s">
        <v>659</v>
      </c>
      <c r="D270" s="248" t="s">
        <v>104</v>
      </c>
      <c r="E270" s="249" t="s">
        <v>313</v>
      </c>
      <c r="F270" s="251" t="s">
        <v>89</v>
      </c>
      <c r="G270" s="250">
        <f>G271+G274</f>
        <v>8039991</v>
      </c>
      <c r="I270" s="184"/>
    </row>
    <row r="271" spans="1:9" ht="51">
      <c r="A271" s="17" t="s">
        <v>465</v>
      </c>
      <c r="B271" s="17"/>
      <c r="C271" s="248" t="s">
        <v>659</v>
      </c>
      <c r="D271" s="248" t="s">
        <v>104</v>
      </c>
      <c r="E271" s="249" t="s">
        <v>314</v>
      </c>
      <c r="F271" s="251"/>
      <c r="G271" s="250">
        <f>G272</f>
        <v>236023</v>
      </c>
      <c r="I271" s="184"/>
    </row>
    <row r="272" spans="1:9" ht="38.25">
      <c r="A272" s="13" t="s">
        <v>601</v>
      </c>
      <c r="B272" s="13"/>
      <c r="C272" s="248" t="s">
        <v>659</v>
      </c>
      <c r="D272" s="248" t="s">
        <v>104</v>
      </c>
      <c r="E272" s="249" t="s">
        <v>315</v>
      </c>
      <c r="F272" s="248"/>
      <c r="G272" s="250">
        <f>G273</f>
        <v>236023</v>
      </c>
      <c r="I272" s="184"/>
    </row>
    <row r="273" spans="1:9" ht="63.75">
      <c r="A273" s="13" t="s">
        <v>740</v>
      </c>
      <c r="B273" s="13"/>
      <c r="C273" s="248" t="s">
        <v>659</v>
      </c>
      <c r="D273" s="248" t="s">
        <v>104</v>
      </c>
      <c r="E273" s="249" t="s">
        <v>315</v>
      </c>
      <c r="F273" s="248">
        <v>100</v>
      </c>
      <c r="G273" s="247">
        <v>236023</v>
      </c>
      <c r="I273" s="184"/>
    </row>
    <row r="274" spans="1:9" ht="38.25">
      <c r="A274" s="20" t="s">
        <v>330</v>
      </c>
      <c r="B274" s="20"/>
      <c r="C274" s="248" t="s">
        <v>659</v>
      </c>
      <c r="D274" s="248" t="s">
        <v>104</v>
      </c>
      <c r="E274" s="249" t="s">
        <v>317</v>
      </c>
      <c r="F274" s="248"/>
      <c r="G274" s="250">
        <f>G275</f>
        <v>7803968</v>
      </c>
      <c r="I274" s="184"/>
    </row>
    <row r="275" spans="1:9" ht="25.5">
      <c r="A275" s="251" t="s">
        <v>498</v>
      </c>
      <c r="B275" s="251"/>
      <c r="C275" s="248" t="s">
        <v>659</v>
      </c>
      <c r="D275" s="248" t="s">
        <v>104</v>
      </c>
      <c r="E275" s="249" t="s">
        <v>318</v>
      </c>
      <c r="F275" s="248" t="s">
        <v>89</v>
      </c>
      <c r="G275" s="250">
        <f>SUM(G276:G278)</f>
        <v>7803968</v>
      </c>
      <c r="I275" s="184"/>
    </row>
    <row r="276" spans="1:9" ht="63.75">
      <c r="A276" s="13" t="s">
        <v>740</v>
      </c>
      <c r="B276" s="13"/>
      <c r="C276" s="248" t="s">
        <v>659</v>
      </c>
      <c r="D276" s="248" t="s">
        <v>104</v>
      </c>
      <c r="E276" s="249" t="s">
        <v>318</v>
      </c>
      <c r="F276" s="248" t="s">
        <v>597</v>
      </c>
      <c r="G276" s="247">
        <v>7222443</v>
      </c>
      <c r="I276" s="184"/>
    </row>
    <row r="277" spans="1:9" ht="25.5">
      <c r="A277" s="13" t="s">
        <v>232</v>
      </c>
      <c r="B277" s="13"/>
      <c r="C277" s="248" t="s">
        <v>659</v>
      </c>
      <c r="D277" s="248" t="s">
        <v>104</v>
      </c>
      <c r="E277" s="249" t="s">
        <v>318</v>
      </c>
      <c r="F277" s="248" t="s">
        <v>76</v>
      </c>
      <c r="G277" s="247">
        <v>576235</v>
      </c>
      <c r="I277" s="184"/>
    </row>
    <row r="278" spans="1:9" ht="12.75">
      <c r="A278" s="246" t="s">
        <v>79</v>
      </c>
      <c r="B278" s="246"/>
      <c r="C278" s="244" t="s">
        <v>659</v>
      </c>
      <c r="D278" s="244" t="s">
        <v>104</v>
      </c>
      <c r="E278" s="245" t="s">
        <v>318</v>
      </c>
      <c r="F278" s="244">
        <v>800</v>
      </c>
      <c r="G278" s="243">
        <v>5290</v>
      </c>
      <c r="I278" s="184"/>
    </row>
    <row r="279" spans="1:9" ht="12.75">
      <c r="A279" s="226" t="s">
        <v>727</v>
      </c>
      <c r="B279" s="226"/>
      <c r="C279" s="224" t="s">
        <v>558</v>
      </c>
      <c r="D279" s="271" t="s">
        <v>466</v>
      </c>
      <c r="E279" s="224" t="s">
        <v>89</v>
      </c>
      <c r="F279" s="224" t="s">
        <v>89</v>
      </c>
      <c r="G279" s="223">
        <f>G280</f>
        <v>27654283</v>
      </c>
      <c r="I279" s="184"/>
    </row>
    <row r="280" spans="1:9" ht="12.75">
      <c r="A280" s="269" t="s">
        <v>570</v>
      </c>
      <c r="B280" s="269"/>
      <c r="C280" s="268" t="s">
        <v>558</v>
      </c>
      <c r="D280" s="268" t="s">
        <v>535</v>
      </c>
      <c r="E280" s="268" t="s">
        <v>89</v>
      </c>
      <c r="F280" s="268" t="s">
        <v>89</v>
      </c>
      <c r="G280" s="250">
        <f>G281</f>
        <v>27654283</v>
      </c>
      <c r="I280" s="184"/>
    </row>
    <row r="281" spans="1:9" ht="25.5">
      <c r="A281" s="266" t="s">
        <v>15</v>
      </c>
      <c r="B281" s="266"/>
      <c r="C281" s="248" t="s">
        <v>558</v>
      </c>
      <c r="D281" s="248" t="s">
        <v>535</v>
      </c>
      <c r="E281" s="249" t="s">
        <v>319</v>
      </c>
      <c r="F281" s="248" t="s">
        <v>89</v>
      </c>
      <c r="G281" s="250">
        <f>G282+G288</f>
        <v>27654283</v>
      </c>
      <c r="I281" s="184"/>
    </row>
    <row r="282" spans="1:9" ht="25.5">
      <c r="A282" s="24" t="s">
        <v>591</v>
      </c>
      <c r="B282" s="24"/>
      <c r="C282" s="248" t="s">
        <v>558</v>
      </c>
      <c r="D282" s="248" t="s">
        <v>535</v>
      </c>
      <c r="E282" s="249" t="s">
        <v>320</v>
      </c>
      <c r="F282" s="251" t="s">
        <v>89</v>
      </c>
      <c r="G282" s="250">
        <f>G283</f>
        <v>5173642</v>
      </c>
      <c r="I282" s="184"/>
    </row>
    <row r="283" spans="1:9" ht="25.5">
      <c r="A283" s="18" t="s">
        <v>487</v>
      </c>
      <c r="B283" s="18"/>
      <c r="C283" s="248" t="s">
        <v>558</v>
      </c>
      <c r="D283" s="248" t="s">
        <v>535</v>
      </c>
      <c r="E283" s="249" t="s">
        <v>321</v>
      </c>
      <c r="F283" s="251"/>
      <c r="G283" s="250">
        <f>G284</f>
        <v>5173642</v>
      </c>
      <c r="I283" s="184"/>
    </row>
    <row r="284" spans="1:9" ht="25.5">
      <c r="A284" s="251" t="s">
        <v>738</v>
      </c>
      <c r="B284" s="251"/>
      <c r="C284" s="248" t="s">
        <v>558</v>
      </c>
      <c r="D284" s="248" t="s">
        <v>535</v>
      </c>
      <c r="E284" s="249" t="s">
        <v>322</v>
      </c>
      <c r="F284" s="248" t="s">
        <v>89</v>
      </c>
      <c r="G284" s="250">
        <f>SUM(G285:G287)</f>
        <v>5173642</v>
      </c>
      <c r="I284" s="184"/>
    </row>
    <row r="285" spans="1:9" ht="63.75">
      <c r="A285" s="13" t="s">
        <v>740</v>
      </c>
      <c r="B285" s="13"/>
      <c r="C285" s="248" t="s">
        <v>558</v>
      </c>
      <c r="D285" s="248" t="s">
        <v>535</v>
      </c>
      <c r="E285" s="249" t="s">
        <v>322</v>
      </c>
      <c r="F285" s="248">
        <v>100</v>
      </c>
      <c r="G285" s="247">
        <v>4920154</v>
      </c>
      <c r="I285" s="184"/>
    </row>
    <row r="286" spans="1:9" ht="25.5">
      <c r="A286" s="13" t="s">
        <v>232</v>
      </c>
      <c r="B286" s="13"/>
      <c r="C286" s="248" t="s">
        <v>558</v>
      </c>
      <c r="D286" s="248" t="s">
        <v>535</v>
      </c>
      <c r="E286" s="249" t="s">
        <v>322</v>
      </c>
      <c r="F286" s="248">
        <v>200</v>
      </c>
      <c r="G286" s="247">
        <v>220592</v>
      </c>
      <c r="I286" s="184"/>
    </row>
    <row r="287" spans="1:9" ht="12.75" customHeight="1">
      <c r="A287" s="13" t="s">
        <v>79</v>
      </c>
      <c r="B287" s="13"/>
      <c r="C287" s="248" t="s">
        <v>558</v>
      </c>
      <c r="D287" s="248" t="s">
        <v>535</v>
      </c>
      <c r="E287" s="249" t="s">
        <v>322</v>
      </c>
      <c r="F287" s="248">
        <v>800</v>
      </c>
      <c r="G287" s="247">
        <v>32896</v>
      </c>
      <c r="I287" s="184"/>
    </row>
    <row r="288" spans="1:9" ht="25.5">
      <c r="A288" s="12" t="s">
        <v>592</v>
      </c>
      <c r="B288" s="12"/>
      <c r="C288" s="248" t="s">
        <v>558</v>
      </c>
      <c r="D288" s="248" t="s">
        <v>535</v>
      </c>
      <c r="E288" s="249" t="s">
        <v>323</v>
      </c>
      <c r="F288" s="251"/>
      <c r="G288" s="250">
        <f>G289</f>
        <v>22480641</v>
      </c>
      <c r="I288" s="184"/>
    </row>
    <row r="289" spans="1:9" ht="51">
      <c r="A289" s="18" t="s">
        <v>646</v>
      </c>
      <c r="B289" s="18"/>
      <c r="C289" s="248" t="s">
        <v>558</v>
      </c>
      <c r="D289" s="248" t="s">
        <v>535</v>
      </c>
      <c r="E289" s="249" t="s">
        <v>324</v>
      </c>
      <c r="F289" s="251"/>
      <c r="G289" s="250">
        <f>G290+G292+G294</f>
        <v>22480641</v>
      </c>
      <c r="I289" s="184"/>
    </row>
    <row r="290" spans="1:9" ht="25.5">
      <c r="A290" s="251" t="s">
        <v>738</v>
      </c>
      <c r="B290" s="251"/>
      <c r="C290" s="248" t="s">
        <v>558</v>
      </c>
      <c r="D290" s="248" t="s">
        <v>535</v>
      </c>
      <c r="E290" s="249" t="s">
        <v>325</v>
      </c>
      <c r="F290" s="251"/>
      <c r="G290" s="250">
        <f>G291</f>
        <v>22330641</v>
      </c>
      <c r="I290" s="184"/>
    </row>
    <row r="291" spans="1:9" ht="38.25">
      <c r="A291" s="13" t="s">
        <v>92</v>
      </c>
      <c r="B291" s="13"/>
      <c r="C291" s="248" t="s">
        <v>558</v>
      </c>
      <c r="D291" s="248" t="s">
        <v>535</v>
      </c>
      <c r="E291" s="249" t="s">
        <v>325</v>
      </c>
      <c r="F291" s="251">
        <v>600</v>
      </c>
      <c r="G291" s="247">
        <v>22330641</v>
      </c>
      <c r="I291" s="184"/>
    </row>
    <row r="292" spans="1:9" ht="24">
      <c r="A292" s="23" t="s">
        <v>295</v>
      </c>
      <c r="B292" s="23"/>
      <c r="C292" s="283" t="s">
        <v>558</v>
      </c>
      <c r="D292" s="248" t="s">
        <v>535</v>
      </c>
      <c r="E292" s="249" t="s">
        <v>274</v>
      </c>
      <c r="F292" s="251"/>
      <c r="G292" s="250">
        <f>G293</f>
        <v>150000</v>
      </c>
      <c r="I292" s="184"/>
    </row>
    <row r="293" spans="1:9" ht="25.5">
      <c r="A293" s="246" t="s">
        <v>93</v>
      </c>
      <c r="B293" s="246"/>
      <c r="C293" s="282" t="s">
        <v>558</v>
      </c>
      <c r="D293" s="244" t="s">
        <v>535</v>
      </c>
      <c r="E293" s="245" t="s">
        <v>274</v>
      </c>
      <c r="F293" s="272">
        <v>200</v>
      </c>
      <c r="G293" s="243">
        <v>150000</v>
      </c>
      <c r="I293" s="184"/>
    </row>
    <row r="294" spans="1:9" ht="38.25" hidden="1">
      <c r="A294" s="189" t="s">
        <v>815</v>
      </c>
      <c r="B294" s="293"/>
      <c r="C294" s="208" t="s">
        <v>558</v>
      </c>
      <c r="D294" s="191" t="s">
        <v>535</v>
      </c>
      <c r="E294" s="188" t="s">
        <v>814</v>
      </c>
      <c r="F294" s="193"/>
      <c r="G294" s="294">
        <f>G295</f>
        <v>0</v>
      </c>
      <c r="I294" s="184"/>
    </row>
    <row r="295" spans="1:9" ht="58.5" customHeight="1" hidden="1">
      <c r="A295" s="203" t="s">
        <v>92</v>
      </c>
      <c r="B295" s="293"/>
      <c r="C295" s="207" t="s">
        <v>558</v>
      </c>
      <c r="D295" s="187" t="s">
        <v>535</v>
      </c>
      <c r="E295" s="188" t="s">
        <v>814</v>
      </c>
      <c r="F295" s="201">
        <v>600</v>
      </c>
      <c r="G295" s="294"/>
      <c r="I295" s="184"/>
    </row>
    <row r="296" spans="1:9" ht="12.75">
      <c r="A296" s="292" t="s">
        <v>822</v>
      </c>
      <c r="B296" s="292"/>
      <c r="C296" s="291" t="s">
        <v>104</v>
      </c>
      <c r="D296" s="290" t="s">
        <v>466</v>
      </c>
      <c r="E296" s="289"/>
      <c r="F296" s="288"/>
      <c r="G296" s="223">
        <f>G297</f>
        <v>1084220</v>
      </c>
      <c r="I296" s="184"/>
    </row>
    <row r="297" spans="1:9" ht="12.75">
      <c r="A297" s="287" t="s">
        <v>46</v>
      </c>
      <c r="B297" s="287"/>
      <c r="C297" s="286" t="s">
        <v>104</v>
      </c>
      <c r="D297" s="286" t="s">
        <v>659</v>
      </c>
      <c r="E297" s="285"/>
      <c r="F297" s="284"/>
      <c r="G297" s="250">
        <f>G298</f>
        <v>1084220</v>
      </c>
      <c r="I297" s="184"/>
    </row>
    <row r="298" spans="1:9" ht="25.5">
      <c r="A298" s="266" t="s">
        <v>631</v>
      </c>
      <c r="B298" s="266"/>
      <c r="C298" s="283" t="s">
        <v>104</v>
      </c>
      <c r="D298" s="283" t="s">
        <v>659</v>
      </c>
      <c r="E298" s="249" t="s">
        <v>14</v>
      </c>
      <c r="F298" s="251"/>
      <c r="G298" s="250">
        <f>G299</f>
        <v>1084220</v>
      </c>
      <c r="I298" s="184"/>
    </row>
    <row r="299" spans="1:9" ht="25.5">
      <c r="A299" s="12" t="s">
        <v>641</v>
      </c>
      <c r="B299" s="12"/>
      <c r="C299" s="283" t="s">
        <v>104</v>
      </c>
      <c r="D299" s="283" t="s">
        <v>659</v>
      </c>
      <c r="E299" s="252" t="s">
        <v>16</v>
      </c>
      <c r="F299" s="251"/>
      <c r="G299" s="250">
        <f>G300</f>
        <v>1084220</v>
      </c>
      <c r="I299" s="184"/>
    </row>
    <row r="300" spans="1:9" ht="38.25">
      <c r="A300" s="27" t="s">
        <v>773</v>
      </c>
      <c r="B300" s="27"/>
      <c r="C300" s="283" t="s">
        <v>104</v>
      </c>
      <c r="D300" s="283" t="s">
        <v>659</v>
      </c>
      <c r="E300" s="249" t="s">
        <v>47</v>
      </c>
      <c r="F300" s="251"/>
      <c r="G300" s="250">
        <f>G301</f>
        <v>1084220</v>
      </c>
      <c r="I300" s="184"/>
    </row>
    <row r="301" spans="1:9" ht="25.5">
      <c r="A301" s="246" t="s">
        <v>93</v>
      </c>
      <c r="B301" s="246"/>
      <c r="C301" s="282" t="s">
        <v>104</v>
      </c>
      <c r="D301" s="282" t="s">
        <v>659</v>
      </c>
      <c r="E301" s="245" t="s">
        <v>47</v>
      </c>
      <c r="F301" s="272">
        <v>200</v>
      </c>
      <c r="G301" s="243">
        <v>1084220</v>
      </c>
      <c r="I301" s="184"/>
    </row>
    <row r="302" spans="1:9" ht="12.75">
      <c r="A302" s="226" t="s">
        <v>571</v>
      </c>
      <c r="B302" s="226"/>
      <c r="C302" s="224" t="s">
        <v>559</v>
      </c>
      <c r="D302" s="271" t="s">
        <v>466</v>
      </c>
      <c r="E302" s="224" t="s">
        <v>89</v>
      </c>
      <c r="F302" s="224" t="s">
        <v>89</v>
      </c>
      <c r="G302" s="223">
        <f>G303+G309+G321</f>
        <v>9698890</v>
      </c>
      <c r="I302" s="184"/>
    </row>
    <row r="303" spans="1:9" ht="12.75">
      <c r="A303" s="269" t="s">
        <v>572</v>
      </c>
      <c r="B303" s="269"/>
      <c r="C303" s="268" t="s">
        <v>559</v>
      </c>
      <c r="D303" s="268" t="s">
        <v>103</v>
      </c>
      <c r="E303" s="268" t="s">
        <v>89</v>
      </c>
      <c r="F303" s="268" t="s">
        <v>89</v>
      </c>
      <c r="G303" s="250">
        <f>G304</f>
        <v>20000</v>
      </c>
      <c r="I303" s="184"/>
    </row>
    <row r="304" spans="1:9" ht="38.25">
      <c r="A304" s="266" t="s">
        <v>283</v>
      </c>
      <c r="B304" s="266"/>
      <c r="C304" s="248">
        <v>10</v>
      </c>
      <c r="D304" s="248" t="s">
        <v>103</v>
      </c>
      <c r="E304" s="249" t="s">
        <v>562</v>
      </c>
      <c r="F304" s="248"/>
      <c r="G304" s="250">
        <f>G305</f>
        <v>20000</v>
      </c>
      <c r="I304" s="184"/>
    </row>
    <row r="305" spans="1:9" ht="51">
      <c r="A305" s="12" t="s">
        <v>282</v>
      </c>
      <c r="B305" s="12"/>
      <c r="C305" s="248">
        <v>10</v>
      </c>
      <c r="D305" s="248" t="s">
        <v>103</v>
      </c>
      <c r="E305" s="252" t="s">
        <v>563</v>
      </c>
      <c r="F305" s="248"/>
      <c r="G305" s="250">
        <f>G306</f>
        <v>20000</v>
      </c>
      <c r="I305" s="184"/>
    </row>
    <row r="306" spans="1:9" ht="25.5">
      <c r="A306" s="26" t="s">
        <v>463</v>
      </c>
      <c r="B306" s="26"/>
      <c r="C306" s="248">
        <v>10</v>
      </c>
      <c r="D306" s="248" t="s">
        <v>103</v>
      </c>
      <c r="E306" s="252" t="s">
        <v>308</v>
      </c>
      <c r="F306" s="248"/>
      <c r="G306" s="250">
        <f>G307</f>
        <v>20000</v>
      </c>
      <c r="I306" s="184"/>
    </row>
    <row r="307" spans="1:9" ht="12.75">
      <c r="A307" s="23" t="s">
        <v>278</v>
      </c>
      <c r="B307" s="23"/>
      <c r="C307" s="248">
        <v>10</v>
      </c>
      <c r="D307" s="248" t="s">
        <v>103</v>
      </c>
      <c r="E307" s="249" t="s">
        <v>277</v>
      </c>
      <c r="F307" s="248"/>
      <c r="G307" s="250">
        <f>G308</f>
        <v>20000</v>
      </c>
      <c r="I307" s="184"/>
    </row>
    <row r="308" spans="1:9" ht="25.5">
      <c r="A308" s="13" t="s">
        <v>83</v>
      </c>
      <c r="B308" s="13"/>
      <c r="C308" s="248">
        <v>10</v>
      </c>
      <c r="D308" s="248" t="s">
        <v>103</v>
      </c>
      <c r="E308" s="249" t="s">
        <v>277</v>
      </c>
      <c r="F308" s="248">
        <v>300</v>
      </c>
      <c r="G308" s="247">
        <v>20000</v>
      </c>
      <c r="I308" s="184"/>
    </row>
    <row r="309" spans="1:9" ht="12.75">
      <c r="A309" s="269" t="s">
        <v>573</v>
      </c>
      <c r="B309" s="269"/>
      <c r="C309" s="268" t="s">
        <v>559</v>
      </c>
      <c r="D309" s="268" t="s">
        <v>538</v>
      </c>
      <c r="E309" s="268" t="s">
        <v>89</v>
      </c>
      <c r="F309" s="268" t="s">
        <v>89</v>
      </c>
      <c r="G309" s="250">
        <f>G315+G310</f>
        <v>9344190</v>
      </c>
      <c r="I309" s="184"/>
    </row>
    <row r="310" spans="1:9" ht="25.5">
      <c r="A310" s="266" t="s">
        <v>166</v>
      </c>
      <c r="B310" s="269"/>
      <c r="C310" s="248">
        <v>10</v>
      </c>
      <c r="D310" s="248" t="s">
        <v>538</v>
      </c>
      <c r="E310" s="268" t="s">
        <v>227</v>
      </c>
      <c r="F310" s="268"/>
      <c r="G310" s="250">
        <f>G311</f>
        <v>4228092</v>
      </c>
      <c r="I310" s="184"/>
    </row>
    <row r="311" spans="1:9" ht="63.75">
      <c r="A311" s="12" t="s">
        <v>244</v>
      </c>
      <c r="B311" s="269"/>
      <c r="C311" s="248">
        <v>10</v>
      </c>
      <c r="D311" s="248" t="s">
        <v>538</v>
      </c>
      <c r="E311" s="268" t="s">
        <v>7</v>
      </c>
      <c r="F311" s="268"/>
      <c r="G311" s="250">
        <f>G312</f>
        <v>4228092</v>
      </c>
      <c r="I311" s="184"/>
    </row>
    <row r="312" spans="1:9" ht="54.75" customHeight="1">
      <c r="A312" s="483" t="s">
        <v>952</v>
      </c>
      <c r="B312" s="269"/>
      <c r="C312" s="248">
        <v>10</v>
      </c>
      <c r="D312" s="248" t="s">
        <v>538</v>
      </c>
      <c r="E312" s="268" t="s">
        <v>932</v>
      </c>
      <c r="F312" s="268"/>
      <c r="G312" s="250">
        <f>G313</f>
        <v>4228092</v>
      </c>
      <c r="I312" s="184"/>
    </row>
    <row r="313" spans="1:9" ht="51">
      <c r="A313" s="483" t="s">
        <v>924</v>
      </c>
      <c r="B313" s="269"/>
      <c r="C313" s="248">
        <v>10</v>
      </c>
      <c r="D313" s="248" t="s">
        <v>538</v>
      </c>
      <c r="E313" s="268" t="s">
        <v>933</v>
      </c>
      <c r="F313" s="268"/>
      <c r="G313" s="250">
        <f>G314</f>
        <v>4228092</v>
      </c>
      <c r="I313" s="184"/>
    </row>
    <row r="314" spans="1:9" ht="25.5">
      <c r="A314" s="483" t="s">
        <v>225</v>
      </c>
      <c r="B314" s="269"/>
      <c r="C314" s="248">
        <v>10</v>
      </c>
      <c r="D314" s="248" t="s">
        <v>538</v>
      </c>
      <c r="E314" s="268" t="s">
        <v>933</v>
      </c>
      <c r="F314" s="268">
        <v>400</v>
      </c>
      <c r="G314" s="250">
        <v>4228092</v>
      </c>
      <c r="I314" s="184"/>
    </row>
    <row r="315" spans="1:9" ht="38.25">
      <c r="A315" s="266" t="s">
        <v>281</v>
      </c>
      <c r="B315" s="266"/>
      <c r="C315" s="248">
        <v>10</v>
      </c>
      <c r="D315" s="248" t="s">
        <v>538</v>
      </c>
      <c r="E315" s="249" t="s">
        <v>562</v>
      </c>
      <c r="F315" s="248"/>
      <c r="G315" s="250">
        <f>G316</f>
        <v>5116098</v>
      </c>
      <c r="I315" s="184"/>
    </row>
    <row r="316" spans="1:9" ht="51">
      <c r="A316" s="12" t="s">
        <v>282</v>
      </c>
      <c r="B316" s="12"/>
      <c r="C316" s="248">
        <v>10</v>
      </c>
      <c r="D316" s="248" t="s">
        <v>538</v>
      </c>
      <c r="E316" s="252" t="s">
        <v>563</v>
      </c>
      <c r="F316" s="248"/>
      <c r="G316" s="250">
        <f>G317</f>
        <v>5116098</v>
      </c>
      <c r="I316" s="184"/>
    </row>
    <row r="317" spans="1:9" ht="25.5">
      <c r="A317" s="19" t="s">
        <v>461</v>
      </c>
      <c r="B317" s="19"/>
      <c r="C317" s="248">
        <v>10</v>
      </c>
      <c r="D317" s="248" t="s">
        <v>538</v>
      </c>
      <c r="E317" s="252" t="s">
        <v>133</v>
      </c>
      <c r="F317" s="248"/>
      <c r="G317" s="250">
        <f>G318</f>
        <v>5116098</v>
      </c>
      <c r="I317" s="184"/>
    </row>
    <row r="318" spans="1:9" ht="12.75">
      <c r="A318" s="13" t="s">
        <v>327</v>
      </c>
      <c r="B318" s="13"/>
      <c r="C318" s="248">
        <v>10</v>
      </c>
      <c r="D318" s="248" t="s">
        <v>538</v>
      </c>
      <c r="E318" s="249" t="s">
        <v>247</v>
      </c>
      <c r="F318" s="248"/>
      <c r="G318" s="250">
        <f>SUM(G319:G320)</f>
        <v>5116098</v>
      </c>
      <c r="I318" s="184"/>
    </row>
    <row r="319" spans="1:9" ht="25.5">
      <c r="A319" s="13" t="s">
        <v>232</v>
      </c>
      <c r="B319" s="13"/>
      <c r="C319" s="248">
        <v>10</v>
      </c>
      <c r="D319" s="248" t="s">
        <v>538</v>
      </c>
      <c r="E319" s="249" t="s">
        <v>247</v>
      </c>
      <c r="F319" s="248">
        <v>200</v>
      </c>
      <c r="G319" s="247">
        <v>20382</v>
      </c>
      <c r="I319" s="184"/>
    </row>
    <row r="320" spans="1:9" ht="25.5">
      <c r="A320" s="246" t="s">
        <v>83</v>
      </c>
      <c r="B320" s="246"/>
      <c r="C320" s="244">
        <v>10</v>
      </c>
      <c r="D320" s="244" t="s">
        <v>538</v>
      </c>
      <c r="E320" s="245" t="s">
        <v>247</v>
      </c>
      <c r="F320" s="244">
        <v>300</v>
      </c>
      <c r="G320" s="243">
        <v>5095716</v>
      </c>
      <c r="I320" s="184"/>
    </row>
    <row r="321" spans="1:9" ht="12.75">
      <c r="A321" s="269" t="s">
        <v>578</v>
      </c>
      <c r="B321" s="269"/>
      <c r="C321" s="268" t="s">
        <v>559</v>
      </c>
      <c r="D321" s="268" t="s">
        <v>539</v>
      </c>
      <c r="E321" s="400"/>
      <c r="F321" s="399"/>
      <c r="G321" s="306">
        <f>G322</f>
        <v>334700</v>
      </c>
      <c r="I321" s="184"/>
    </row>
    <row r="322" spans="1:9" ht="52.5" customHeight="1">
      <c r="A322" s="266" t="s">
        <v>300</v>
      </c>
      <c r="B322" s="266"/>
      <c r="C322" s="248" t="s">
        <v>559</v>
      </c>
      <c r="D322" s="248" t="s">
        <v>539</v>
      </c>
      <c r="E322" s="248" t="s">
        <v>12</v>
      </c>
      <c r="F322" s="491"/>
      <c r="G322" s="247">
        <f>G323</f>
        <v>334700</v>
      </c>
      <c r="I322" s="184"/>
    </row>
    <row r="323" spans="1:9" ht="76.5">
      <c r="A323" s="12" t="s">
        <v>301</v>
      </c>
      <c r="B323" s="12"/>
      <c r="C323" s="248" t="s">
        <v>559</v>
      </c>
      <c r="D323" s="248" t="s">
        <v>539</v>
      </c>
      <c r="E323" s="248" t="s">
        <v>13</v>
      </c>
      <c r="F323" s="491"/>
      <c r="G323" s="247">
        <f>G324</f>
        <v>334700</v>
      </c>
      <c r="I323" s="184"/>
    </row>
    <row r="324" spans="1:9" ht="38.25">
      <c r="A324" s="203" t="s">
        <v>290</v>
      </c>
      <c r="B324" s="203"/>
      <c r="C324" s="191" t="s">
        <v>559</v>
      </c>
      <c r="D324" s="191" t="s">
        <v>539</v>
      </c>
      <c r="E324" s="191" t="s">
        <v>279</v>
      </c>
      <c r="F324" s="191"/>
      <c r="G324" s="190">
        <f>G325</f>
        <v>334700</v>
      </c>
      <c r="I324" s="184"/>
    </row>
    <row r="325" spans="1:9" ht="51">
      <c r="A325" s="203" t="s">
        <v>111</v>
      </c>
      <c r="B325" s="203"/>
      <c r="C325" s="191" t="s">
        <v>559</v>
      </c>
      <c r="D325" s="191" t="s">
        <v>539</v>
      </c>
      <c r="E325" s="191" t="s">
        <v>291</v>
      </c>
      <c r="F325" s="191"/>
      <c r="G325" s="190">
        <f>SUM(G326:G326)</f>
        <v>334700</v>
      </c>
      <c r="I325" s="184"/>
    </row>
    <row r="326" spans="1:9" ht="63.75">
      <c r="A326" s="203" t="s">
        <v>740</v>
      </c>
      <c r="B326" s="203"/>
      <c r="C326" s="191" t="s">
        <v>559</v>
      </c>
      <c r="D326" s="191" t="s">
        <v>539</v>
      </c>
      <c r="E326" s="191" t="s">
        <v>291</v>
      </c>
      <c r="F326" s="191">
        <v>100</v>
      </c>
      <c r="G326" s="202">
        <v>334700</v>
      </c>
      <c r="I326" s="184"/>
    </row>
    <row r="327" spans="1:9" ht="12.75">
      <c r="A327" s="226" t="s">
        <v>246</v>
      </c>
      <c r="B327" s="226"/>
      <c r="C327" s="224" t="s">
        <v>541</v>
      </c>
      <c r="D327" s="271" t="s">
        <v>466</v>
      </c>
      <c r="E327" s="224" t="s">
        <v>89</v>
      </c>
      <c r="F327" s="224" t="s">
        <v>89</v>
      </c>
      <c r="G327" s="270">
        <f aca="true" t="shared" si="0" ref="G327:G332">G328</f>
        <v>100000</v>
      </c>
      <c r="I327" s="184"/>
    </row>
    <row r="328" spans="1:9" ht="12.75">
      <c r="A328" s="269" t="s">
        <v>443</v>
      </c>
      <c r="B328" s="269"/>
      <c r="C328" s="268" t="s">
        <v>541</v>
      </c>
      <c r="D328" s="268" t="s">
        <v>537</v>
      </c>
      <c r="E328" s="268" t="s">
        <v>89</v>
      </c>
      <c r="F328" s="268" t="s">
        <v>89</v>
      </c>
      <c r="G328" s="250">
        <f t="shared" si="0"/>
        <v>100000</v>
      </c>
      <c r="I328" s="184"/>
    </row>
    <row r="329" spans="1:9" ht="63.75">
      <c r="A329" s="266" t="s">
        <v>442</v>
      </c>
      <c r="B329" s="266"/>
      <c r="C329" s="248" t="s">
        <v>541</v>
      </c>
      <c r="D329" s="248" t="s">
        <v>537</v>
      </c>
      <c r="E329" s="249" t="s">
        <v>441</v>
      </c>
      <c r="F329" s="264" t="s">
        <v>89</v>
      </c>
      <c r="G329" s="250">
        <f t="shared" si="0"/>
        <v>100000</v>
      </c>
      <c r="I329" s="184"/>
    </row>
    <row r="330" spans="1:9" ht="76.5">
      <c r="A330" s="12" t="s">
        <v>440</v>
      </c>
      <c r="B330" s="12"/>
      <c r="C330" s="248" t="s">
        <v>541</v>
      </c>
      <c r="D330" s="248" t="s">
        <v>537</v>
      </c>
      <c r="E330" s="249" t="s">
        <v>252</v>
      </c>
      <c r="F330" s="265" t="s">
        <v>89</v>
      </c>
      <c r="G330" s="250">
        <f t="shared" si="0"/>
        <v>100000</v>
      </c>
      <c r="I330" s="184"/>
    </row>
    <row r="331" spans="1:9" ht="63.75">
      <c r="A331" s="20" t="s">
        <v>251</v>
      </c>
      <c r="B331" s="20"/>
      <c r="C331" s="248" t="s">
        <v>541</v>
      </c>
      <c r="D331" s="248" t="s">
        <v>537</v>
      </c>
      <c r="E331" s="249" t="s">
        <v>250</v>
      </c>
      <c r="F331" s="265"/>
      <c r="G331" s="250">
        <f t="shared" si="0"/>
        <v>100000</v>
      </c>
      <c r="I331" s="184"/>
    </row>
    <row r="332" spans="1:9" ht="51">
      <c r="A332" s="20" t="s">
        <v>249</v>
      </c>
      <c r="B332" s="20"/>
      <c r="C332" s="248" t="s">
        <v>541</v>
      </c>
      <c r="D332" s="248" t="s">
        <v>537</v>
      </c>
      <c r="E332" s="249" t="s">
        <v>248</v>
      </c>
      <c r="F332" s="265"/>
      <c r="G332" s="250">
        <f t="shared" si="0"/>
        <v>100000</v>
      </c>
      <c r="I332" s="184"/>
    </row>
    <row r="333" spans="1:9" ht="25.5">
      <c r="A333" s="246" t="s">
        <v>232</v>
      </c>
      <c r="B333" s="246"/>
      <c r="C333" s="244" t="s">
        <v>541</v>
      </c>
      <c r="D333" s="244" t="s">
        <v>537</v>
      </c>
      <c r="E333" s="245" t="s">
        <v>248</v>
      </c>
      <c r="F333" s="272">
        <v>200</v>
      </c>
      <c r="G333" s="243">
        <v>100000</v>
      </c>
      <c r="I333" s="184"/>
    </row>
    <row r="334" spans="1:9" ht="25.5">
      <c r="A334" s="281" t="s">
        <v>467</v>
      </c>
      <c r="B334" s="280" t="s">
        <v>329</v>
      </c>
      <c r="C334" s="279"/>
      <c r="D334" s="279"/>
      <c r="E334" s="278"/>
      <c r="F334" s="277"/>
      <c r="G334" s="276">
        <f>G335+G344+G352+G361+G410</f>
        <v>69389675</v>
      </c>
      <c r="I334" s="184"/>
    </row>
    <row r="335" spans="1:9" ht="12.75">
      <c r="A335" s="226" t="s">
        <v>598</v>
      </c>
      <c r="B335" s="224"/>
      <c r="C335" s="224" t="s">
        <v>535</v>
      </c>
      <c r="D335" s="271" t="s">
        <v>466</v>
      </c>
      <c r="E335" s="224" t="s">
        <v>89</v>
      </c>
      <c r="F335" s="224" t="s">
        <v>89</v>
      </c>
      <c r="G335" s="223">
        <f>G336</f>
        <v>4076676</v>
      </c>
      <c r="I335" s="184"/>
    </row>
    <row r="336" spans="1:9" ht="38.25">
      <c r="A336" s="269" t="s">
        <v>349</v>
      </c>
      <c r="B336" s="268"/>
      <c r="C336" s="268" t="s">
        <v>535</v>
      </c>
      <c r="D336" s="268" t="s">
        <v>539</v>
      </c>
      <c r="E336" s="268" t="s">
        <v>89</v>
      </c>
      <c r="F336" s="268" t="s">
        <v>89</v>
      </c>
      <c r="G336" s="250">
        <f>G337</f>
        <v>4076676</v>
      </c>
      <c r="I336" s="184"/>
    </row>
    <row r="337" spans="1:9" ht="25.5">
      <c r="A337" s="266" t="s">
        <v>175</v>
      </c>
      <c r="B337" s="266"/>
      <c r="C337" s="248" t="s">
        <v>535</v>
      </c>
      <c r="D337" s="248" t="s">
        <v>539</v>
      </c>
      <c r="E337" s="248" t="s">
        <v>698</v>
      </c>
      <c r="F337" s="248" t="s">
        <v>89</v>
      </c>
      <c r="G337" s="250">
        <f>G338</f>
        <v>4076676</v>
      </c>
      <c r="I337" s="184"/>
    </row>
    <row r="338" spans="1:9" ht="51">
      <c r="A338" s="12" t="s">
        <v>177</v>
      </c>
      <c r="B338" s="12"/>
      <c r="C338" s="248" t="s">
        <v>535</v>
      </c>
      <c r="D338" s="248" t="s">
        <v>539</v>
      </c>
      <c r="E338" s="248" t="s">
        <v>699</v>
      </c>
      <c r="F338" s="251" t="s">
        <v>89</v>
      </c>
      <c r="G338" s="250">
        <f>G339</f>
        <v>4076676</v>
      </c>
      <c r="I338" s="184"/>
    </row>
    <row r="339" spans="1:9" ht="38.25">
      <c r="A339" s="17" t="s">
        <v>599</v>
      </c>
      <c r="B339" s="17"/>
      <c r="C339" s="248" t="s">
        <v>535</v>
      </c>
      <c r="D339" s="248" t="s">
        <v>539</v>
      </c>
      <c r="E339" s="248" t="s">
        <v>316</v>
      </c>
      <c r="F339" s="251"/>
      <c r="G339" s="250">
        <f>G340</f>
        <v>4076676</v>
      </c>
      <c r="I339" s="184"/>
    </row>
    <row r="340" spans="1:9" ht="25.5">
      <c r="A340" s="251" t="s">
        <v>736</v>
      </c>
      <c r="B340" s="251"/>
      <c r="C340" s="248" t="s">
        <v>535</v>
      </c>
      <c r="D340" s="248" t="s">
        <v>539</v>
      </c>
      <c r="E340" s="248" t="s">
        <v>700</v>
      </c>
      <c r="F340" s="248" t="s">
        <v>89</v>
      </c>
      <c r="G340" s="250">
        <f>SUM(G341:G343)</f>
        <v>4076676</v>
      </c>
      <c r="I340" s="184"/>
    </row>
    <row r="341" spans="1:9" ht="25.5" customHeight="1">
      <c r="A341" s="13" t="s">
        <v>740</v>
      </c>
      <c r="B341" s="13"/>
      <c r="C341" s="248" t="s">
        <v>535</v>
      </c>
      <c r="D341" s="248" t="s">
        <v>539</v>
      </c>
      <c r="E341" s="248" t="s">
        <v>700</v>
      </c>
      <c r="F341" s="248">
        <v>100</v>
      </c>
      <c r="G341" s="247">
        <v>3991777</v>
      </c>
      <c r="I341" s="184"/>
    </row>
    <row r="342" spans="1:9" ht="25.5">
      <c r="A342" s="13" t="s">
        <v>232</v>
      </c>
      <c r="B342" s="13"/>
      <c r="C342" s="248" t="s">
        <v>535</v>
      </c>
      <c r="D342" s="248" t="s">
        <v>539</v>
      </c>
      <c r="E342" s="248" t="s">
        <v>700</v>
      </c>
      <c r="F342" s="248" t="s">
        <v>76</v>
      </c>
      <c r="G342" s="247">
        <v>84899</v>
      </c>
      <c r="I342" s="184"/>
    </row>
    <row r="343" spans="1:9" ht="12.75">
      <c r="A343" s="13" t="s">
        <v>79</v>
      </c>
      <c r="B343" s="13"/>
      <c r="C343" s="248" t="s">
        <v>535</v>
      </c>
      <c r="D343" s="248" t="s">
        <v>539</v>
      </c>
      <c r="E343" s="248" t="s">
        <v>700</v>
      </c>
      <c r="F343" s="248">
        <v>800</v>
      </c>
      <c r="G343" s="247"/>
      <c r="I343" s="184"/>
    </row>
    <row r="344" spans="1:9" ht="12.75">
      <c r="A344" s="226" t="s">
        <v>728</v>
      </c>
      <c r="B344" s="226"/>
      <c r="C344" s="224" t="s">
        <v>538</v>
      </c>
      <c r="D344" s="271" t="s">
        <v>466</v>
      </c>
      <c r="E344" s="224" t="s">
        <v>89</v>
      </c>
      <c r="F344" s="224" t="s">
        <v>89</v>
      </c>
      <c r="G344" s="223">
        <f>G345</f>
        <v>334700</v>
      </c>
      <c r="I344" s="184"/>
    </row>
    <row r="345" spans="1:9" ht="12.75">
      <c r="A345" s="269" t="s">
        <v>729</v>
      </c>
      <c r="B345" s="269"/>
      <c r="C345" s="268" t="s">
        <v>538</v>
      </c>
      <c r="D345" s="268" t="s">
        <v>535</v>
      </c>
      <c r="E345" s="268" t="s">
        <v>89</v>
      </c>
      <c r="F345" s="268" t="s">
        <v>89</v>
      </c>
      <c r="G345" s="250">
        <f>G346</f>
        <v>334700</v>
      </c>
      <c r="I345" s="184"/>
    </row>
    <row r="346" spans="1:9" ht="38.25">
      <c r="A346" s="266" t="s">
        <v>707</v>
      </c>
      <c r="B346" s="266"/>
      <c r="C346" s="248" t="s">
        <v>538</v>
      </c>
      <c r="D346" s="248" t="s">
        <v>535</v>
      </c>
      <c r="E346" s="249" t="s">
        <v>22</v>
      </c>
      <c r="F346" s="248" t="s">
        <v>89</v>
      </c>
      <c r="G346" s="250">
        <f>G347</f>
        <v>334700</v>
      </c>
      <c r="I346" s="184"/>
    </row>
    <row r="347" spans="1:9" ht="51">
      <c r="A347" s="12" t="s">
        <v>590</v>
      </c>
      <c r="B347" s="12"/>
      <c r="C347" s="248" t="s">
        <v>538</v>
      </c>
      <c r="D347" s="248" t="s">
        <v>535</v>
      </c>
      <c r="E347" s="249" t="s">
        <v>28</v>
      </c>
      <c r="F347" s="248"/>
      <c r="G347" s="250">
        <f>G348</f>
        <v>334700</v>
      </c>
      <c r="I347" s="184"/>
    </row>
    <row r="348" spans="1:9" ht="51">
      <c r="A348" s="17" t="s">
        <v>457</v>
      </c>
      <c r="B348" s="17"/>
      <c r="C348" s="248" t="s">
        <v>538</v>
      </c>
      <c r="D348" s="248" t="s">
        <v>535</v>
      </c>
      <c r="E348" s="249" t="s">
        <v>29</v>
      </c>
      <c r="F348" s="248"/>
      <c r="G348" s="250">
        <f>G349</f>
        <v>334700</v>
      </c>
      <c r="I348" s="184"/>
    </row>
    <row r="349" spans="1:9" ht="25.5">
      <c r="A349" s="251" t="s">
        <v>474</v>
      </c>
      <c r="B349" s="251"/>
      <c r="C349" s="248" t="s">
        <v>538</v>
      </c>
      <c r="D349" s="248" t="s">
        <v>535</v>
      </c>
      <c r="E349" s="249" t="s">
        <v>30</v>
      </c>
      <c r="F349" s="264" t="s">
        <v>89</v>
      </c>
      <c r="G349" s="250">
        <f>SUM(G350:G351)</f>
        <v>334700</v>
      </c>
      <c r="I349" s="184"/>
    </row>
    <row r="350" spans="1:9" ht="63.75">
      <c r="A350" s="13" t="s">
        <v>740</v>
      </c>
      <c r="B350" s="13"/>
      <c r="C350" s="248" t="s">
        <v>538</v>
      </c>
      <c r="D350" s="248" t="s">
        <v>535</v>
      </c>
      <c r="E350" s="249" t="s">
        <v>30</v>
      </c>
      <c r="F350" s="248">
        <v>100</v>
      </c>
      <c r="G350" s="247">
        <v>331700</v>
      </c>
      <c r="I350" s="184"/>
    </row>
    <row r="351" spans="1:9" ht="25.5">
      <c r="A351" s="13" t="s">
        <v>232</v>
      </c>
      <c r="B351" s="246"/>
      <c r="C351" s="244" t="s">
        <v>538</v>
      </c>
      <c r="D351" s="244" t="s">
        <v>535</v>
      </c>
      <c r="E351" s="245" t="s">
        <v>30</v>
      </c>
      <c r="F351" s="244">
        <v>200</v>
      </c>
      <c r="G351" s="243">
        <v>3000</v>
      </c>
      <c r="I351" s="184"/>
    </row>
    <row r="352" spans="1:9" ht="12.75">
      <c r="A352" s="226" t="s">
        <v>566</v>
      </c>
      <c r="B352" s="226"/>
      <c r="C352" s="224" t="s">
        <v>659</v>
      </c>
      <c r="D352" s="271" t="s">
        <v>466</v>
      </c>
      <c r="E352" s="224" t="s">
        <v>89</v>
      </c>
      <c r="F352" s="224" t="s">
        <v>89</v>
      </c>
      <c r="G352" s="223">
        <f>G353</f>
        <v>1335117</v>
      </c>
      <c r="I352" s="184"/>
    </row>
    <row r="353" spans="1:9" ht="12.75">
      <c r="A353" s="275" t="s">
        <v>569</v>
      </c>
      <c r="B353" s="275"/>
      <c r="C353" s="274" t="s">
        <v>659</v>
      </c>
      <c r="D353" s="274" t="s">
        <v>104</v>
      </c>
      <c r="E353" s="274" t="s">
        <v>89</v>
      </c>
      <c r="F353" s="274" t="s">
        <v>89</v>
      </c>
      <c r="G353" s="250">
        <f>G354</f>
        <v>1335117</v>
      </c>
      <c r="I353" s="184"/>
    </row>
    <row r="354" spans="1:9" ht="38.25">
      <c r="A354" s="266" t="s">
        <v>283</v>
      </c>
      <c r="B354" s="266"/>
      <c r="C354" s="248" t="s">
        <v>659</v>
      </c>
      <c r="D354" s="248" t="s">
        <v>104</v>
      </c>
      <c r="E354" s="249" t="s">
        <v>562</v>
      </c>
      <c r="F354" s="248" t="s">
        <v>89</v>
      </c>
      <c r="G354" s="250">
        <f>G355</f>
        <v>1335117</v>
      </c>
      <c r="I354" s="184"/>
    </row>
    <row r="355" spans="1:9" ht="51">
      <c r="A355" s="12" t="s">
        <v>713</v>
      </c>
      <c r="B355" s="12"/>
      <c r="C355" s="248" t="s">
        <v>659</v>
      </c>
      <c r="D355" s="248" t="s">
        <v>104</v>
      </c>
      <c r="E355" s="249" t="s">
        <v>313</v>
      </c>
      <c r="F355" s="251" t="s">
        <v>89</v>
      </c>
      <c r="G355" s="250">
        <f>G356</f>
        <v>1335117</v>
      </c>
      <c r="I355" s="184"/>
    </row>
    <row r="356" spans="1:9" ht="38.25">
      <c r="A356" s="251" t="s">
        <v>642</v>
      </c>
      <c r="B356" s="251"/>
      <c r="C356" s="248" t="s">
        <v>659</v>
      </c>
      <c r="D356" s="248" t="s">
        <v>104</v>
      </c>
      <c r="E356" s="249" t="s">
        <v>644</v>
      </c>
      <c r="F356" s="248"/>
      <c r="G356" s="250">
        <f>G357</f>
        <v>1335117</v>
      </c>
      <c r="I356" s="184"/>
    </row>
    <row r="357" spans="1:9" ht="25.5">
      <c r="A357" s="251" t="s">
        <v>736</v>
      </c>
      <c r="B357" s="251"/>
      <c r="C357" s="248" t="s">
        <v>659</v>
      </c>
      <c r="D357" s="248" t="s">
        <v>104</v>
      </c>
      <c r="E357" s="249" t="s">
        <v>645</v>
      </c>
      <c r="F357" s="248"/>
      <c r="G357" s="250">
        <f>SUM(G358:G360)</f>
        <v>1335117</v>
      </c>
      <c r="I357" s="184"/>
    </row>
    <row r="358" spans="1:9" ht="63.75">
      <c r="A358" s="13" t="s">
        <v>740</v>
      </c>
      <c r="B358" s="13"/>
      <c r="C358" s="248" t="s">
        <v>659</v>
      </c>
      <c r="D358" s="248" t="s">
        <v>104</v>
      </c>
      <c r="E358" s="249" t="s">
        <v>645</v>
      </c>
      <c r="F358" s="248" t="s">
        <v>597</v>
      </c>
      <c r="G358" s="247">
        <v>1241117</v>
      </c>
      <c r="I358" s="184"/>
    </row>
    <row r="359" spans="1:9" ht="25.5">
      <c r="A359" s="13" t="s">
        <v>232</v>
      </c>
      <c r="B359" s="13"/>
      <c r="C359" s="248" t="s">
        <v>659</v>
      </c>
      <c r="D359" s="248" t="s">
        <v>104</v>
      </c>
      <c r="E359" s="249" t="s">
        <v>645</v>
      </c>
      <c r="F359" s="248" t="s">
        <v>76</v>
      </c>
      <c r="G359" s="247">
        <v>94000</v>
      </c>
      <c r="I359" s="184"/>
    </row>
    <row r="360" spans="1:9" ht="12.75">
      <c r="A360" s="246" t="s">
        <v>79</v>
      </c>
      <c r="B360" s="246"/>
      <c r="C360" s="244" t="s">
        <v>659</v>
      </c>
      <c r="D360" s="244" t="s">
        <v>104</v>
      </c>
      <c r="E360" s="245" t="s">
        <v>645</v>
      </c>
      <c r="F360" s="244">
        <v>800</v>
      </c>
      <c r="G360" s="243"/>
      <c r="I360" s="184"/>
    </row>
    <row r="361" spans="1:9" ht="12.75">
      <c r="A361" s="226" t="s">
        <v>571</v>
      </c>
      <c r="B361" s="226"/>
      <c r="C361" s="224" t="s">
        <v>559</v>
      </c>
      <c r="D361" s="271" t="s">
        <v>466</v>
      </c>
      <c r="E361" s="224" t="s">
        <v>89</v>
      </c>
      <c r="F361" s="224" t="s">
        <v>89</v>
      </c>
      <c r="G361" s="223">
        <f>G362+G380+G393</f>
        <v>63588182</v>
      </c>
      <c r="I361" s="184"/>
    </row>
    <row r="362" spans="1:9" ht="12.75">
      <c r="A362" s="269" t="s">
        <v>572</v>
      </c>
      <c r="B362" s="269"/>
      <c r="C362" s="268" t="s">
        <v>559</v>
      </c>
      <c r="D362" s="268" t="s">
        <v>103</v>
      </c>
      <c r="E362" s="268" t="s">
        <v>89</v>
      </c>
      <c r="F362" s="268" t="s">
        <v>89</v>
      </c>
      <c r="G362" s="250">
        <f>G363</f>
        <v>7465212</v>
      </c>
      <c r="I362" s="184"/>
    </row>
    <row r="363" spans="1:9" ht="25.5">
      <c r="A363" s="266" t="s">
        <v>166</v>
      </c>
      <c r="B363" s="266"/>
      <c r="C363" s="248" t="s">
        <v>559</v>
      </c>
      <c r="D363" s="248" t="s">
        <v>103</v>
      </c>
      <c r="E363" s="249" t="s">
        <v>227</v>
      </c>
      <c r="F363" s="248" t="s">
        <v>89</v>
      </c>
      <c r="G363" s="250">
        <f>G364</f>
        <v>7465212</v>
      </c>
      <c r="I363" s="184"/>
    </row>
    <row r="364" spans="1:9" ht="51">
      <c r="A364" s="12" t="s">
        <v>167</v>
      </c>
      <c r="B364" s="12"/>
      <c r="C364" s="248" t="s">
        <v>559</v>
      </c>
      <c r="D364" s="248" t="s">
        <v>103</v>
      </c>
      <c r="E364" s="252" t="s">
        <v>119</v>
      </c>
      <c r="F364" s="251" t="s">
        <v>89</v>
      </c>
      <c r="G364" s="250">
        <f>G365+G372+G376</f>
        <v>7465212</v>
      </c>
      <c r="I364" s="184"/>
    </row>
    <row r="365" spans="1:9" ht="25.5">
      <c r="A365" s="18" t="s">
        <v>647</v>
      </c>
      <c r="B365" s="18"/>
      <c r="C365" s="248" t="s">
        <v>559</v>
      </c>
      <c r="D365" s="248" t="s">
        <v>103</v>
      </c>
      <c r="E365" s="273" t="s">
        <v>128</v>
      </c>
      <c r="F365" s="248"/>
      <c r="G365" s="250">
        <f>G366+G369</f>
        <v>7074641</v>
      </c>
      <c r="I365" s="184"/>
    </row>
    <row r="366" spans="1:9" ht="25.5">
      <c r="A366" s="251" t="s">
        <v>594</v>
      </c>
      <c r="B366" s="251"/>
      <c r="C366" s="248" t="s">
        <v>559</v>
      </c>
      <c r="D366" s="248" t="s">
        <v>103</v>
      </c>
      <c r="E366" s="249" t="s">
        <v>648</v>
      </c>
      <c r="F366" s="248" t="s">
        <v>89</v>
      </c>
      <c r="G366" s="250">
        <f>SUM(G367:G368)</f>
        <v>6592141</v>
      </c>
      <c r="I366" s="184"/>
    </row>
    <row r="367" spans="1:9" ht="25.5">
      <c r="A367" s="13" t="s">
        <v>232</v>
      </c>
      <c r="B367" s="13"/>
      <c r="C367" s="248" t="s">
        <v>559</v>
      </c>
      <c r="D367" s="248" t="s">
        <v>103</v>
      </c>
      <c r="E367" s="249" t="s">
        <v>648</v>
      </c>
      <c r="F367" s="248">
        <v>200</v>
      </c>
      <c r="G367" s="247">
        <v>71000</v>
      </c>
      <c r="I367" s="184"/>
    </row>
    <row r="368" spans="1:9" ht="25.5">
      <c r="A368" s="13" t="s">
        <v>83</v>
      </c>
      <c r="B368" s="13"/>
      <c r="C368" s="248" t="s">
        <v>559</v>
      </c>
      <c r="D368" s="248" t="s">
        <v>103</v>
      </c>
      <c r="E368" s="249" t="s">
        <v>648</v>
      </c>
      <c r="F368" s="248">
        <v>300</v>
      </c>
      <c r="G368" s="247">
        <v>6521141</v>
      </c>
      <c r="I368" s="184"/>
    </row>
    <row r="369" spans="1:9" ht="25.5">
      <c r="A369" s="251" t="s">
        <v>595</v>
      </c>
      <c r="B369" s="251"/>
      <c r="C369" s="248" t="s">
        <v>559</v>
      </c>
      <c r="D369" s="248" t="s">
        <v>103</v>
      </c>
      <c r="E369" s="249" t="s">
        <v>649</v>
      </c>
      <c r="F369" s="248" t="s">
        <v>89</v>
      </c>
      <c r="G369" s="250">
        <f>SUM(G370:G371)</f>
        <v>482500</v>
      </c>
      <c r="I369" s="184"/>
    </row>
    <row r="370" spans="1:9" ht="25.5">
      <c r="A370" s="13" t="s">
        <v>232</v>
      </c>
      <c r="B370" s="13"/>
      <c r="C370" s="248" t="s">
        <v>559</v>
      </c>
      <c r="D370" s="248" t="s">
        <v>103</v>
      </c>
      <c r="E370" s="249" t="s">
        <v>649</v>
      </c>
      <c r="F370" s="248">
        <v>200</v>
      </c>
      <c r="G370" s="247">
        <v>9500</v>
      </c>
      <c r="I370" s="184"/>
    </row>
    <row r="371" spans="1:9" ht="25.5">
      <c r="A371" s="13" t="s">
        <v>83</v>
      </c>
      <c r="B371" s="13"/>
      <c r="C371" s="248" t="s">
        <v>559</v>
      </c>
      <c r="D371" s="248" t="s">
        <v>103</v>
      </c>
      <c r="E371" s="249" t="s">
        <v>649</v>
      </c>
      <c r="F371" s="248" t="s">
        <v>82</v>
      </c>
      <c r="G371" s="247">
        <v>473000</v>
      </c>
      <c r="I371" s="184"/>
    </row>
    <row r="372" spans="1:9" ht="25.5">
      <c r="A372" s="17" t="s">
        <v>125</v>
      </c>
      <c r="B372" s="17"/>
      <c r="C372" s="268" t="s">
        <v>559</v>
      </c>
      <c r="D372" s="268" t="s">
        <v>103</v>
      </c>
      <c r="E372" s="273" t="s">
        <v>129</v>
      </c>
      <c r="F372" s="268"/>
      <c r="G372" s="250">
        <f>G373</f>
        <v>125083</v>
      </c>
      <c r="I372" s="184"/>
    </row>
    <row r="373" spans="1:9" ht="38.25">
      <c r="A373" s="251" t="s">
        <v>266</v>
      </c>
      <c r="B373" s="251"/>
      <c r="C373" s="248" t="s">
        <v>559</v>
      </c>
      <c r="D373" s="248" t="s">
        <v>103</v>
      </c>
      <c r="E373" s="249" t="s">
        <v>130</v>
      </c>
      <c r="F373" s="248" t="s">
        <v>89</v>
      </c>
      <c r="G373" s="250">
        <f>SUM(G374:G375)</f>
        <v>125083</v>
      </c>
      <c r="I373" s="184"/>
    </row>
    <row r="374" spans="1:9" ht="25.5">
      <c r="A374" s="13" t="s">
        <v>232</v>
      </c>
      <c r="B374" s="13"/>
      <c r="C374" s="248" t="s">
        <v>559</v>
      </c>
      <c r="D374" s="248" t="s">
        <v>103</v>
      </c>
      <c r="E374" s="249" t="s">
        <v>130</v>
      </c>
      <c r="F374" s="248">
        <v>200</v>
      </c>
      <c r="G374" s="250">
        <v>1900</v>
      </c>
      <c r="I374" s="184"/>
    </row>
    <row r="375" spans="1:9" ht="25.5">
      <c r="A375" s="13" t="s">
        <v>83</v>
      </c>
      <c r="B375" s="13"/>
      <c r="C375" s="248" t="s">
        <v>559</v>
      </c>
      <c r="D375" s="248" t="s">
        <v>103</v>
      </c>
      <c r="E375" s="249" t="s">
        <v>130</v>
      </c>
      <c r="F375" s="248" t="s">
        <v>82</v>
      </c>
      <c r="G375" s="247">
        <v>123183</v>
      </c>
      <c r="I375" s="184"/>
    </row>
    <row r="376" spans="1:9" ht="38.25">
      <c r="A376" s="22" t="s">
        <v>650</v>
      </c>
      <c r="B376" s="22"/>
      <c r="C376" s="268" t="s">
        <v>559</v>
      </c>
      <c r="D376" s="268" t="s">
        <v>103</v>
      </c>
      <c r="E376" s="252" t="s">
        <v>131</v>
      </c>
      <c r="F376" s="268"/>
      <c r="G376" s="250">
        <f>G377</f>
        <v>265488</v>
      </c>
      <c r="I376" s="184"/>
    </row>
    <row r="377" spans="1:9" ht="38.25">
      <c r="A377" s="251" t="s">
        <v>496</v>
      </c>
      <c r="B377" s="251"/>
      <c r="C377" s="248" t="s">
        <v>559</v>
      </c>
      <c r="D377" s="248" t="s">
        <v>103</v>
      </c>
      <c r="E377" s="249" t="s">
        <v>132</v>
      </c>
      <c r="F377" s="248" t="s">
        <v>89</v>
      </c>
      <c r="G377" s="250">
        <f>SUM(G378:G379)</f>
        <v>265488</v>
      </c>
      <c r="I377" s="184"/>
    </row>
    <row r="378" spans="1:9" ht="25.5">
      <c r="A378" s="13" t="s">
        <v>232</v>
      </c>
      <c r="B378" s="13"/>
      <c r="C378" s="248" t="s">
        <v>559</v>
      </c>
      <c r="D378" s="248" t="s">
        <v>103</v>
      </c>
      <c r="E378" s="249" t="s">
        <v>132</v>
      </c>
      <c r="F378" s="248">
        <v>200</v>
      </c>
      <c r="G378" s="247">
        <v>2000</v>
      </c>
      <c r="I378" s="184"/>
    </row>
    <row r="379" spans="1:9" ht="25.5">
      <c r="A379" s="13" t="s">
        <v>83</v>
      </c>
      <c r="B379" s="13"/>
      <c r="C379" s="248" t="s">
        <v>559</v>
      </c>
      <c r="D379" s="248" t="s">
        <v>103</v>
      </c>
      <c r="E379" s="249" t="s">
        <v>132</v>
      </c>
      <c r="F379" s="248">
        <v>300</v>
      </c>
      <c r="G379" s="247">
        <v>263488</v>
      </c>
      <c r="I379" s="184"/>
    </row>
    <row r="380" spans="1:9" ht="12.75">
      <c r="A380" s="269" t="s">
        <v>573</v>
      </c>
      <c r="B380" s="269"/>
      <c r="C380" s="268" t="s">
        <v>559</v>
      </c>
      <c r="D380" s="268" t="s">
        <v>538</v>
      </c>
      <c r="E380" s="268" t="s">
        <v>89</v>
      </c>
      <c r="F380" s="268" t="s">
        <v>89</v>
      </c>
      <c r="G380" s="250">
        <f>G381</f>
        <v>51681170</v>
      </c>
      <c r="I380" s="184"/>
    </row>
    <row r="381" spans="1:9" ht="25.5">
      <c r="A381" s="266" t="s">
        <v>166</v>
      </c>
      <c r="B381" s="266"/>
      <c r="C381" s="248" t="s">
        <v>559</v>
      </c>
      <c r="D381" s="248" t="s">
        <v>538</v>
      </c>
      <c r="E381" s="249" t="s">
        <v>227</v>
      </c>
      <c r="F381" s="248"/>
      <c r="G381" s="250">
        <f>G382</f>
        <v>51681170</v>
      </c>
      <c r="I381" s="184"/>
    </row>
    <row r="382" spans="1:9" ht="63.75">
      <c r="A382" s="12" t="s">
        <v>244</v>
      </c>
      <c r="B382" s="12"/>
      <c r="C382" s="248" t="s">
        <v>559</v>
      </c>
      <c r="D382" s="248" t="s">
        <v>538</v>
      </c>
      <c r="E382" s="252" t="s">
        <v>7</v>
      </c>
      <c r="F382" s="251" t="s">
        <v>89</v>
      </c>
      <c r="G382" s="250">
        <f>G383+G390</f>
        <v>51681170</v>
      </c>
      <c r="I382" s="184"/>
    </row>
    <row r="383" spans="1:9" ht="38.25">
      <c r="A383" s="18" t="s">
        <v>762</v>
      </c>
      <c r="B383" s="18"/>
      <c r="C383" s="248" t="s">
        <v>559</v>
      </c>
      <c r="D383" s="248" t="s">
        <v>538</v>
      </c>
      <c r="E383" s="248" t="s">
        <v>126</v>
      </c>
      <c r="F383" s="248"/>
      <c r="G383" s="250">
        <f>G384+G386+G388</f>
        <v>45737161</v>
      </c>
      <c r="I383" s="184"/>
    </row>
    <row r="384" spans="1:9" ht="12.75">
      <c r="A384" s="17" t="s">
        <v>560</v>
      </c>
      <c r="B384" s="17"/>
      <c r="C384" s="248" t="s">
        <v>559</v>
      </c>
      <c r="D384" s="248" t="s">
        <v>538</v>
      </c>
      <c r="E384" s="249" t="s">
        <v>763</v>
      </c>
      <c r="F384" s="248"/>
      <c r="G384" s="250">
        <f>G385</f>
        <v>1707915</v>
      </c>
      <c r="I384" s="184"/>
    </row>
    <row r="385" spans="1:9" ht="25.5">
      <c r="A385" s="13" t="s">
        <v>83</v>
      </c>
      <c r="B385" s="13"/>
      <c r="C385" s="248" t="s">
        <v>559</v>
      </c>
      <c r="D385" s="248" t="s">
        <v>538</v>
      </c>
      <c r="E385" s="249" t="s">
        <v>763</v>
      </c>
      <c r="F385" s="248">
        <v>300</v>
      </c>
      <c r="G385" s="247">
        <v>1707915</v>
      </c>
      <c r="I385" s="184"/>
    </row>
    <row r="386" spans="1:9" ht="25.5">
      <c r="A386" s="205" t="s">
        <v>515</v>
      </c>
      <c r="B386" s="13"/>
      <c r="C386" s="248" t="s">
        <v>559</v>
      </c>
      <c r="D386" s="248" t="s">
        <v>538</v>
      </c>
      <c r="E386" s="249" t="s">
        <v>516</v>
      </c>
      <c r="F386" s="248"/>
      <c r="G386" s="247">
        <f>G387</f>
        <v>43186977</v>
      </c>
      <c r="I386" s="184"/>
    </row>
    <row r="387" spans="1:9" ht="25.5">
      <c r="A387" s="13" t="s">
        <v>83</v>
      </c>
      <c r="B387" s="13"/>
      <c r="C387" s="248" t="s">
        <v>559</v>
      </c>
      <c r="D387" s="248" t="s">
        <v>538</v>
      </c>
      <c r="E387" s="249" t="s">
        <v>516</v>
      </c>
      <c r="F387" s="248">
        <v>300</v>
      </c>
      <c r="G387" s="247">
        <v>43186977</v>
      </c>
      <c r="I387" s="184"/>
    </row>
    <row r="388" spans="1:9" ht="38.25">
      <c r="A388" s="205" t="s">
        <v>517</v>
      </c>
      <c r="B388" s="13"/>
      <c r="C388" s="248" t="s">
        <v>559</v>
      </c>
      <c r="D388" s="248" t="s">
        <v>538</v>
      </c>
      <c r="E388" s="249" t="s">
        <v>518</v>
      </c>
      <c r="F388" s="248"/>
      <c r="G388" s="247">
        <f>G389</f>
        <v>842269</v>
      </c>
      <c r="I388" s="184"/>
    </row>
    <row r="389" spans="1:9" ht="25.5">
      <c r="A389" s="13" t="s">
        <v>232</v>
      </c>
      <c r="B389" s="13"/>
      <c r="C389" s="248" t="s">
        <v>559</v>
      </c>
      <c r="D389" s="248" t="s">
        <v>538</v>
      </c>
      <c r="E389" s="249" t="s">
        <v>518</v>
      </c>
      <c r="F389" s="248">
        <v>200</v>
      </c>
      <c r="G389" s="247">
        <v>842269</v>
      </c>
      <c r="I389" s="184"/>
    </row>
    <row r="390" spans="1:9" ht="51">
      <c r="A390" s="18" t="s">
        <v>127</v>
      </c>
      <c r="B390" s="18"/>
      <c r="C390" s="248" t="s">
        <v>559</v>
      </c>
      <c r="D390" s="248" t="s">
        <v>538</v>
      </c>
      <c r="E390" s="252" t="s">
        <v>764</v>
      </c>
      <c r="F390" s="251"/>
      <c r="G390" s="250">
        <f>G391</f>
        <v>5944009</v>
      </c>
      <c r="I390" s="184"/>
    </row>
    <row r="391" spans="1:9" ht="38.25">
      <c r="A391" s="251" t="s">
        <v>596</v>
      </c>
      <c r="B391" s="251"/>
      <c r="C391" s="248" t="s">
        <v>559</v>
      </c>
      <c r="D391" s="248" t="s">
        <v>538</v>
      </c>
      <c r="E391" s="249" t="s">
        <v>765</v>
      </c>
      <c r="F391" s="248" t="s">
        <v>89</v>
      </c>
      <c r="G391" s="250">
        <f>SUM(G392:G392)</f>
        <v>5944009</v>
      </c>
      <c r="I391" s="184"/>
    </row>
    <row r="392" spans="1:9" ht="25.5">
      <c r="A392" s="13" t="s">
        <v>83</v>
      </c>
      <c r="B392" s="13"/>
      <c r="C392" s="248" t="s">
        <v>559</v>
      </c>
      <c r="D392" s="248" t="s">
        <v>538</v>
      </c>
      <c r="E392" s="249" t="s">
        <v>765</v>
      </c>
      <c r="F392" s="248">
        <v>300</v>
      </c>
      <c r="G392" s="247">
        <v>5944009</v>
      </c>
      <c r="I392" s="184"/>
    </row>
    <row r="393" spans="1:9" ht="12.75">
      <c r="A393" s="269" t="s">
        <v>578</v>
      </c>
      <c r="B393" s="269"/>
      <c r="C393" s="268" t="s">
        <v>559</v>
      </c>
      <c r="D393" s="268" t="s">
        <v>539</v>
      </c>
      <c r="E393" s="268" t="s">
        <v>89</v>
      </c>
      <c r="F393" s="268" t="s">
        <v>89</v>
      </c>
      <c r="G393" s="250">
        <f>G394</f>
        <v>4441800</v>
      </c>
      <c r="I393" s="184"/>
    </row>
    <row r="394" spans="1:9" ht="25.5">
      <c r="A394" s="266" t="s">
        <v>166</v>
      </c>
      <c r="B394" s="266"/>
      <c r="C394" s="248" t="s">
        <v>559</v>
      </c>
      <c r="D394" s="248" t="s">
        <v>539</v>
      </c>
      <c r="E394" s="249" t="s">
        <v>227</v>
      </c>
      <c r="F394" s="248" t="s">
        <v>89</v>
      </c>
      <c r="G394" s="250">
        <f>G395+G405</f>
        <v>4441800</v>
      </c>
      <c r="I394" s="184"/>
    </row>
    <row r="395" spans="1:9" ht="51">
      <c r="A395" s="12" t="s">
        <v>384</v>
      </c>
      <c r="B395" s="12"/>
      <c r="C395" s="248" t="s">
        <v>559</v>
      </c>
      <c r="D395" s="248" t="s">
        <v>539</v>
      </c>
      <c r="E395" s="252" t="s">
        <v>6</v>
      </c>
      <c r="F395" s="251" t="s">
        <v>89</v>
      </c>
      <c r="G395" s="250">
        <f>G396+G401</f>
        <v>3437700</v>
      </c>
      <c r="I395" s="184"/>
    </row>
    <row r="396" spans="1:9" ht="51">
      <c r="A396" s="19" t="s">
        <v>766</v>
      </c>
      <c r="B396" s="19"/>
      <c r="C396" s="248" t="s">
        <v>559</v>
      </c>
      <c r="D396" s="248" t="s">
        <v>539</v>
      </c>
      <c r="E396" s="252" t="s">
        <v>767</v>
      </c>
      <c r="F396" s="251"/>
      <c r="G396" s="250">
        <f>G397</f>
        <v>2342900</v>
      </c>
      <c r="I396" s="184"/>
    </row>
    <row r="397" spans="1:9" ht="38.25">
      <c r="A397" s="251" t="s">
        <v>394</v>
      </c>
      <c r="B397" s="251"/>
      <c r="C397" s="248" t="s">
        <v>559</v>
      </c>
      <c r="D397" s="248" t="s">
        <v>539</v>
      </c>
      <c r="E397" s="252" t="s">
        <v>768</v>
      </c>
      <c r="F397" s="248" t="s">
        <v>89</v>
      </c>
      <c r="G397" s="250">
        <f>SUM(G398:G400)</f>
        <v>2342900</v>
      </c>
      <c r="I397" s="184"/>
    </row>
    <row r="398" spans="1:9" ht="63.75">
      <c r="A398" s="13" t="s">
        <v>740</v>
      </c>
      <c r="B398" s="13"/>
      <c r="C398" s="248" t="s">
        <v>559</v>
      </c>
      <c r="D398" s="248" t="s">
        <v>539</v>
      </c>
      <c r="E398" s="252" t="s">
        <v>768</v>
      </c>
      <c r="F398" s="248">
        <v>100</v>
      </c>
      <c r="G398" s="247">
        <v>2232400</v>
      </c>
      <c r="I398" s="184"/>
    </row>
    <row r="399" spans="1:9" ht="25.5">
      <c r="A399" s="13" t="s">
        <v>232</v>
      </c>
      <c r="B399" s="13"/>
      <c r="C399" s="248" t="s">
        <v>559</v>
      </c>
      <c r="D399" s="248" t="s">
        <v>539</v>
      </c>
      <c r="E399" s="252" t="s">
        <v>768</v>
      </c>
      <c r="F399" s="251">
        <v>200</v>
      </c>
      <c r="G399" s="247">
        <v>110000</v>
      </c>
      <c r="I399" s="184"/>
    </row>
    <row r="400" spans="1:9" ht="12.75">
      <c r="A400" s="13" t="s">
        <v>79</v>
      </c>
      <c r="B400" s="13"/>
      <c r="C400" s="248" t="s">
        <v>559</v>
      </c>
      <c r="D400" s="248" t="s">
        <v>539</v>
      </c>
      <c r="E400" s="252" t="s">
        <v>768</v>
      </c>
      <c r="F400" s="251">
        <v>800</v>
      </c>
      <c r="G400" s="247">
        <v>500</v>
      </c>
      <c r="I400" s="184"/>
    </row>
    <row r="401" spans="1:9" ht="63.75">
      <c r="A401" s="203" t="s">
        <v>715</v>
      </c>
      <c r="B401" s="13"/>
      <c r="C401" s="248" t="s">
        <v>559</v>
      </c>
      <c r="D401" s="248" t="s">
        <v>539</v>
      </c>
      <c r="E401" s="249" t="s">
        <v>337</v>
      </c>
      <c r="F401" s="251"/>
      <c r="G401" s="247">
        <f>G402+G403+G404</f>
        <v>1094800</v>
      </c>
      <c r="I401" s="184"/>
    </row>
    <row r="402" spans="1:9" ht="63.75">
      <c r="A402" s="13" t="s">
        <v>740</v>
      </c>
      <c r="B402" s="13"/>
      <c r="C402" s="248" t="s">
        <v>559</v>
      </c>
      <c r="D402" s="248" t="s">
        <v>539</v>
      </c>
      <c r="E402" s="249" t="s">
        <v>337</v>
      </c>
      <c r="F402" s="251">
        <v>100</v>
      </c>
      <c r="G402" s="247">
        <v>982100</v>
      </c>
      <c r="I402" s="184"/>
    </row>
    <row r="403" spans="1:9" ht="25.5">
      <c r="A403" s="13" t="s">
        <v>232</v>
      </c>
      <c r="B403" s="13"/>
      <c r="C403" s="248" t="s">
        <v>559</v>
      </c>
      <c r="D403" s="248" t="s">
        <v>539</v>
      </c>
      <c r="E403" s="249" t="s">
        <v>337</v>
      </c>
      <c r="F403" s="251">
        <v>200</v>
      </c>
      <c r="G403" s="247">
        <v>112200</v>
      </c>
      <c r="I403" s="184"/>
    </row>
    <row r="404" spans="1:9" ht="12.75">
      <c r="A404" s="246" t="s">
        <v>79</v>
      </c>
      <c r="B404" s="246"/>
      <c r="C404" s="244" t="s">
        <v>559</v>
      </c>
      <c r="D404" s="244" t="s">
        <v>539</v>
      </c>
      <c r="E404" s="245" t="s">
        <v>337</v>
      </c>
      <c r="F404" s="272">
        <v>800</v>
      </c>
      <c r="G404" s="243">
        <v>500</v>
      </c>
      <c r="I404" s="184"/>
    </row>
    <row r="405" spans="1:9" ht="63.75">
      <c r="A405" s="12" t="s">
        <v>176</v>
      </c>
      <c r="B405" s="12"/>
      <c r="C405" s="248" t="s">
        <v>559</v>
      </c>
      <c r="D405" s="248" t="s">
        <v>539</v>
      </c>
      <c r="E405" s="248" t="s">
        <v>7</v>
      </c>
      <c r="F405" s="251" t="s">
        <v>89</v>
      </c>
      <c r="G405" s="250">
        <f>G406</f>
        <v>1004100</v>
      </c>
      <c r="I405" s="184"/>
    </row>
    <row r="406" spans="1:9" ht="51">
      <c r="A406" s="13" t="s">
        <v>593</v>
      </c>
      <c r="B406" s="13"/>
      <c r="C406" s="248" t="s">
        <v>559</v>
      </c>
      <c r="D406" s="248" t="s">
        <v>539</v>
      </c>
      <c r="E406" s="248" t="s">
        <v>600</v>
      </c>
      <c r="F406" s="251"/>
      <c r="G406" s="250">
        <f>G407</f>
        <v>1004100</v>
      </c>
      <c r="I406" s="184"/>
    </row>
    <row r="407" spans="1:9" ht="51">
      <c r="A407" s="251" t="s">
        <v>286</v>
      </c>
      <c r="B407" s="251"/>
      <c r="C407" s="248" t="s">
        <v>559</v>
      </c>
      <c r="D407" s="248" t="s">
        <v>539</v>
      </c>
      <c r="E407" s="249" t="s">
        <v>456</v>
      </c>
      <c r="F407" s="248"/>
      <c r="G407" s="250">
        <f>SUM(G408:G409)</f>
        <v>1004100</v>
      </c>
      <c r="I407" s="184"/>
    </row>
    <row r="408" spans="1:9" ht="63.75">
      <c r="A408" s="13" t="s">
        <v>740</v>
      </c>
      <c r="B408" s="13"/>
      <c r="C408" s="248" t="s">
        <v>559</v>
      </c>
      <c r="D408" s="248" t="s">
        <v>539</v>
      </c>
      <c r="E408" s="249" t="s">
        <v>456</v>
      </c>
      <c r="F408" s="248">
        <v>100</v>
      </c>
      <c r="G408" s="247">
        <v>967900</v>
      </c>
      <c r="I408" s="184"/>
    </row>
    <row r="409" spans="1:9" ht="25.5">
      <c r="A409" s="246" t="s">
        <v>232</v>
      </c>
      <c r="B409" s="246"/>
      <c r="C409" s="248" t="s">
        <v>559</v>
      </c>
      <c r="D409" s="248" t="s">
        <v>539</v>
      </c>
      <c r="E409" s="245" t="s">
        <v>456</v>
      </c>
      <c r="F409" s="244" t="s">
        <v>76</v>
      </c>
      <c r="G409" s="243">
        <v>36200</v>
      </c>
      <c r="I409" s="184"/>
    </row>
    <row r="410" spans="1:7" ht="25.5">
      <c r="A410" s="226" t="s">
        <v>77</v>
      </c>
      <c r="B410" s="226"/>
      <c r="C410" s="224" t="s">
        <v>102</v>
      </c>
      <c r="D410" s="271" t="s">
        <v>466</v>
      </c>
      <c r="E410" s="224" t="s">
        <v>89</v>
      </c>
      <c r="F410" s="224" t="s">
        <v>89</v>
      </c>
      <c r="G410" s="270">
        <f aca="true" t="shared" si="1" ref="G410:G415">G411</f>
        <v>55000</v>
      </c>
    </row>
    <row r="411" spans="1:7" ht="25.5">
      <c r="A411" s="269" t="s">
        <v>78</v>
      </c>
      <c r="B411" s="269"/>
      <c r="C411" s="268" t="s">
        <v>102</v>
      </c>
      <c r="D411" s="268" t="s">
        <v>535</v>
      </c>
      <c r="E411" s="267" t="s">
        <v>89</v>
      </c>
      <c r="F411" s="267" t="s">
        <v>89</v>
      </c>
      <c r="G411" s="250">
        <f t="shared" si="1"/>
        <v>55000</v>
      </c>
    </row>
    <row r="412" spans="1:7" ht="25.5">
      <c r="A412" s="266" t="s">
        <v>175</v>
      </c>
      <c r="B412" s="266"/>
      <c r="C412" s="248" t="s">
        <v>102</v>
      </c>
      <c r="D412" s="248" t="s">
        <v>535</v>
      </c>
      <c r="E412" s="249" t="s">
        <v>698</v>
      </c>
      <c r="F412" s="264" t="s">
        <v>89</v>
      </c>
      <c r="G412" s="250">
        <f t="shared" si="1"/>
        <v>55000</v>
      </c>
    </row>
    <row r="413" spans="1:7" ht="51">
      <c r="A413" s="12" t="s">
        <v>395</v>
      </c>
      <c r="B413" s="12"/>
      <c r="C413" s="248" t="s">
        <v>102</v>
      </c>
      <c r="D413" s="248" t="s">
        <v>535</v>
      </c>
      <c r="E413" s="249" t="s">
        <v>121</v>
      </c>
      <c r="F413" s="265" t="s">
        <v>89</v>
      </c>
      <c r="G413" s="250">
        <f t="shared" si="1"/>
        <v>55000</v>
      </c>
    </row>
    <row r="414" spans="1:7" ht="51">
      <c r="A414" s="17" t="s">
        <v>120</v>
      </c>
      <c r="B414" s="17"/>
      <c r="C414" s="248" t="s">
        <v>102</v>
      </c>
      <c r="D414" s="248" t="s">
        <v>535</v>
      </c>
      <c r="E414" s="249" t="s">
        <v>122</v>
      </c>
      <c r="F414" s="265"/>
      <c r="G414" s="250">
        <f t="shared" si="1"/>
        <v>55000</v>
      </c>
    </row>
    <row r="415" spans="1:7" ht="12.75">
      <c r="A415" s="20" t="s">
        <v>123</v>
      </c>
      <c r="B415" s="20"/>
      <c r="C415" s="248" t="s">
        <v>102</v>
      </c>
      <c r="D415" s="248" t="s">
        <v>535</v>
      </c>
      <c r="E415" s="249" t="s">
        <v>124</v>
      </c>
      <c r="F415" s="264" t="s">
        <v>89</v>
      </c>
      <c r="G415" s="250">
        <f t="shared" si="1"/>
        <v>55000</v>
      </c>
    </row>
    <row r="416" spans="1:7" ht="25.5">
      <c r="A416" s="246" t="s">
        <v>497</v>
      </c>
      <c r="B416" s="246"/>
      <c r="C416" s="244" t="s">
        <v>102</v>
      </c>
      <c r="D416" s="244" t="s">
        <v>535</v>
      </c>
      <c r="E416" s="245" t="s">
        <v>124</v>
      </c>
      <c r="F416" s="244" t="s">
        <v>84</v>
      </c>
      <c r="G416" s="243">
        <v>55000</v>
      </c>
    </row>
    <row r="417" spans="1:7" ht="12.75">
      <c r="A417" s="263" t="s">
        <v>551</v>
      </c>
      <c r="B417" s="262" t="s">
        <v>550</v>
      </c>
      <c r="C417" s="261"/>
      <c r="D417" s="261"/>
      <c r="E417" s="260"/>
      <c r="F417" s="259"/>
      <c r="G417" s="258">
        <f>G418</f>
        <v>995677</v>
      </c>
    </row>
    <row r="418" spans="1:7" ht="25.5">
      <c r="A418" s="257" t="s">
        <v>173</v>
      </c>
      <c r="B418" s="257"/>
      <c r="C418" s="256" t="s">
        <v>535</v>
      </c>
      <c r="D418" s="256" t="s">
        <v>539</v>
      </c>
      <c r="E418" s="255" t="s">
        <v>701</v>
      </c>
      <c r="F418" s="254" t="s">
        <v>89</v>
      </c>
      <c r="G418" s="253">
        <f>G419+G422</f>
        <v>995677</v>
      </c>
    </row>
    <row r="419" spans="1:7" ht="25.5">
      <c r="A419" s="12" t="s">
        <v>174</v>
      </c>
      <c r="B419" s="12"/>
      <c r="C419" s="248" t="s">
        <v>535</v>
      </c>
      <c r="D419" s="248" t="s">
        <v>539</v>
      </c>
      <c r="E419" s="252" t="s">
        <v>702</v>
      </c>
      <c r="F419" s="248" t="s">
        <v>89</v>
      </c>
      <c r="G419" s="250">
        <f>G420</f>
        <v>638524</v>
      </c>
    </row>
    <row r="420" spans="1:7" ht="25.5">
      <c r="A420" s="251" t="s">
        <v>736</v>
      </c>
      <c r="B420" s="251"/>
      <c r="C420" s="248" t="s">
        <v>535</v>
      </c>
      <c r="D420" s="248" t="s">
        <v>539</v>
      </c>
      <c r="E420" s="249" t="s">
        <v>703</v>
      </c>
      <c r="F420" s="248"/>
      <c r="G420" s="250">
        <f>SUM(G421:G421)</f>
        <v>638524</v>
      </c>
    </row>
    <row r="421" spans="1:7" ht="63.75">
      <c r="A421" s="13" t="s">
        <v>740</v>
      </c>
      <c r="B421" s="13"/>
      <c r="C421" s="248" t="s">
        <v>535</v>
      </c>
      <c r="D421" s="248" t="s">
        <v>539</v>
      </c>
      <c r="E421" s="249" t="s">
        <v>703</v>
      </c>
      <c r="F421" s="248">
        <v>100</v>
      </c>
      <c r="G421" s="250">
        <v>638524</v>
      </c>
    </row>
    <row r="422" spans="1:7" ht="25.5">
      <c r="A422" s="13" t="s">
        <v>42</v>
      </c>
      <c r="B422" s="13"/>
      <c r="C422" s="248" t="s">
        <v>535</v>
      </c>
      <c r="D422" s="248" t="s">
        <v>539</v>
      </c>
      <c r="E422" s="252" t="s">
        <v>41</v>
      </c>
      <c r="F422" s="248"/>
      <c r="G422" s="250">
        <f>G423</f>
        <v>357153</v>
      </c>
    </row>
    <row r="423" spans="1:7" ht="25.5">
      <c r="A423" s="251" t="s">
        <v>736</v>
      </c>
      <c r="B423" s="251"/>
      <c r="C423" s="248" t="s">
        <v>535</v>
      </c>
      <c r="D423" s="248" t="s">
        <v>539</v>
      </c>
      <c r="E423" s="249" t="s">
        <v>40</v>
      </c>
      <c r="F423" s="248"/>
      <c r="G423" s="250">
        <f>SUM(G424:G425)</f>
        <v>357153</v>
      </c>
    </row>
    <row r="424" spans="1:7" ht="63.75">
      <c r="A424" s="13" t="s">
        <v>740</v>
      </c>
      <c r="B424" s="13"/>
      <c r="C424" s="248" t="s">
        <v>535</v>
      </c>
      <c r="D424" s="248" t="s">
        <v>539</v>
      </c>
      <c r="E424" s="249" t="s">
        <v>40</v>
      </c>
      <c r="F424" s="248">
        <v>100</v>
      </c>
      <c r="G424" s="247">
        <v>347153</v>
      </c>
    </row>
    <row r="425" spans="1:7" ht="25.5">
      <c r="A425" s="246" t="s">
        <v>232</v>
      </c>
      <c r="B425" s="246"/>
      <c r="C425" s="244" t="s">
        <v>535</v>
      </c>
      <c r="D425" s="244" t="s">
        <v>539</v>
      </c>
      <c r="E425" s="245" t="s">
        <v>40</v>
      </c>
      <c r="F425" s="244">
        <v>200</v>
      </c>
      <c r="G425" s="243">
        <v>10000</v>
      </c>
    </row>
  </sheetData>
  <sheetProtection/>
  <mergeCells count="1">
    <mergeCell ref="B3:G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900"/>
  </sheetPr>
  <dimension ref="A1:I365"/>
  <sheetViews>
    <sheetView showGridLines="0" zoomScaleSheetLayoutView="100" zoomScalePageLayoutView="0" workbookViewId="0" topLeftCell="A361">
      <selection activeCell="A263" sqref="A263:IV267"/>
    </sheetView>
  </sheetViews>
  <sheetFormatPr defaultColWidth="9.140625" defaultRowHeight="12.75"/>
  <cols>
    <col min="1" max="1" width="34.28125" style="142" customWidth="1"/>
    <col min="2" max="2" width="5.140625" style="142" customWidth="1"/>
    <col min="3" max="4" width="3.8515625" style="142" customWidth="1"/>
    <col min="5" max="5" width="14.7109375" style="142" customWidth="1"/>
    <col min="6" max="6" width="4.57421875" style="142" customWidth="1"/>
    <col min="7" max="7" width="14.7109375" style="162" customWidth="1"/>
    <col min="8" max="8" width="13.7109375" style="162" customWidth="1"/>
    <col min="9" max="16384" width="9.140625" style="167" customWidth="1"/>
  </cols>
  <sheetData>
    <row r="1" spans="1:8" ht="12.75">
      <c r="A1" s="139"/>
      <c r="B1" s="163"/>
      <c r="C1" s="164"/>
      <c r="D1" s="164"/>
      <c r="E1" s="164"/>
      <c r="F1" s="164"/>
      <c r="G1" s="141"/>
      <c r="H1" s="141" t="s">
        <v>574</v>
      </c>
    </row>
    <row r="2" spans="1:8" ht="12.75">
      <c r="A2" s="139"/>
      <c r="B2" s="163"/>
      <c r="C2" s="164"/>
      <c r="D2" s="164"/>
      <c r="E2" s="164"/>
      <c r="F2" s="164"/>
      <c r="G2" s="48"/>
      <c r="H2" s="48" t="s">
        <v>267</v>
      </c>
    </row>
    <row r="3" spans="1:9" ht="12.75">
      <c r="A3" s="501" t="s">
        <v>913</v>
      </c>
      <c r="B3" s="501"/>
      <c r="C3" s="501"/>
      <c r="D3" s="501"/>
      <c r="E3" s="501"/>
      <c r="F3" s="501"/>
      <c r="G3" s="501"/>
      <c r="H3" s="501"/>
      <c r="I3" s="326"/>
    </row>
    <row r="4" spans="1:8" ht="12.75">
      <c r="A4" s="143"/>
      <c r="B4" s="165"/>
      <c r="C4" s="164"/>
      <c r="D4" s="164"/>
      <c r="E4" s="164"/>
      <c r="F4" s="164"/>
      <c r="G4" s="166"/>
      <c r="H4" s="166"/>
    </row>
    <row r="5" spans="1:8" ht="12.75">
      <c r="A5" s="237" t="s">
        <v>939</v>
      </c>
      <c r="B5" s="321"/>
      <c r="C5" s="321"/>
      <c r="D5" s="321"/>
      <c r="E5" s="321"/>
      <c r="F5" s="321"/>
      <c r="G5" s="236"/>
      <c r="H5" s="236"/>
    </row>
    <row r="6" spans="1:8" ht="12.75">
      <c r="A6" s="235"/>
      <c r="B6" s="320"/>
      <c r="C6" s="320"/>
      <c r="D6" s="320"/>
      <c r="E6" s="320"/>
      <c r="F6" s="320"/>
      <c r="G6" s="234" t="s">
        <v>90</v>
      </c>
      <c r="H6" s="234" t="s">
        <v>90</v>
      </c>
    </row>
    <row r="7" spans="1:8" ht="22.5">
      <c r="A7" s="319" t="s">
        <v>86</v>
      </c>
      <c r="B7" s="318" t="s">
        <v>108</v>
      </c>
      <c r="C7" s="318" t="s">
        <v>528</v>
      </c>
      <c r="D7" s="318" t="s">
        <v>529</v>
      </c>
      <c r="E7" s="318" t="s">
        <v>530</v>
      </c>
      <c r="F7" s="318" t="s">
        <v>531</v>
      </c>
      <c r="G7" s="393" t="s">
        <v>602</v>
      </c>
      <c r="H7" s="393" t="s">
        <v>940</v>
      </c>
    </row>
    <row r="8" spans="1:8" ht="12.75">
      <c r="A8" s="231" t="s">
        <v>74</v>
      </c>
      <c r="B8" s="231"/>
      <c r="C8" s="231" t="s">
        <v>87</v>
      </c>
      <c r="D8" s="231" t="s">
        <v>75</v>
      </c>
      <c r="E8" s="231" t="s">
        <v>532</v>
      </c>
      <c r="F8" s="231" t="s">
        <v>533</v>
      </c>
      <c r="G8" s="230" t="s">
        <v>534</v>
      </c>
      <c r="H8" s="230" t="s">
        <v>534</v>
      </c>
    </row>
    <row r="9" spans="1:8" ht="12.75">
      <c r="A9" s="229" t="s">
        <v>91</v>
      </c>
      <c r="B9" s="229"/>
      <c r="C9" s="228" t="s">
        <v>89</v>
      </c>
      <c r="D9" s="228" t="s">
        <v>89</v>
      </c>
      <c r="E9" s="228" t="s">
        <v>89</v>
      </c>
      <c r="F9" s="228" t="s">
        <v>89</v>
      </c>
      <c r="G9" s="227">
        <f>G10+G273+G356+G365</f>
        <v>413793852</v>
      </c>
      <c r="H9" s="227">
        <f>H10+H273+H356+H365</f>
        <v>431506020</v>
      </c>
    </row>
    <row r="10" spans="1:8" ht="12.75">
      <c r="A10" s="263" t="s">
        <v>328</v>
      </c>
      <c r="B10" s="314" t="s">
        <v>579</v>
      </c>
      <c r="C10" s="172"/>
      <c r="D10" s="172"/>
      <c r="E10" s="172"/>
      <c r="F10" s="172"/>
      <c r="G10" s="313">
        <f>G11+G68+G74+G83+G119+G145+G214+G229+G235+G261</f>
        <v>337262560</v>
      </c>
      <c r="H10" s="313">
        <f>H11+H68+H74+H83+H119+H145+H214+H229+H235+H261</f>
        <v>347163166</v>
      </c>
    </row>
    <row r="11" spans="1:8" ht="12.75">
      <c r="A11" s="226" t="s">
        <v>598</v>
      </c>
      <c r="B11" s="226"/>
      <c r="C11" s="224" t="s">
        <v>535</v>
      </c>
      <c r="D11" s="225" t="s">
        <v>466</v>
      </c>
      <c r="E11" s="224" t="s">
        <v>89</v>
      </c>
      <c r="F11" s="224" t="s">
        <v>89</v>
      </c>
      <c r="G11" s="223">
        <f>G12+G17+G24+G29</f>
        <v>38213065</v>
      </c>
      <c r="H11" s="223">
        <f>H12+H17+H24+H29</f>
        <v>36201356</v>
      </c>
    </row>
    <row r="12" spans="1:8" ht="51">
      <c r="A12" s="269" t="s">
        <v>536</v>
      </c>
      <c r="B12" s="269"/>
      <c r="C12" s="268" t="s">
        <v>535</v>
      </c>
      <c r="D12" s="268" t="s">
        <v>537</v>
      </c>
      <c r="E12" s="268" t="s">
        <v>89</v>
      </c>
      <c r="F12" s="268" t="s">
        <v>89</v>
      </c>
      <c r="G12" s="250">
        <f aca="true" t="shared" si="0" ref="G12:H15">G13</f>
        <v>1366926</v>
      </c>
      <c r="H12" s="250">
        <f t="shared" si="0"/>
        <v>1283191</v>
      </c>
    </row>
    <row r="13" spans="1:8" ht="25.5">
      <c r="A13" s="13" t="s">
        <v>588</v>
      </c>
      <c r="B13" s="13"/>
      <c r="C13" s="248" t="s">
        <v>535</v>
      </c>
      <c r="D13" s="248" t="s">
        <v>537</v>
      </c>
      <c r="E13" s="248" t="s">
        <v>691</v>
      </c>
      <c r="F13" s="248" t="s">
        <v>89</v>
      </c>
      <c r="G13" s="250">
        <f t="shared" si="0"/>
        <v>1366926</v>
      </c>
      <c r="H13" s="250">
        <f t="shared" si="0"/>
        <v>1283191</v>
      </c>
    </row>
    <row r="14" spans="1:8" ht="12.75">
      <c r="A14" s="13" t="s">
        <v>361</v>
      </c>
      <c r="B14" s="13"/>
      <c r="C14" s="248" t="s">
        <v>535</v>
      </c>
      <c r="D14" s="248" t="s">
        <v>537</v>
      </c>
      <c r="E14" s="248" t="s">
        <v>692</v>
      </c>
      <c r="F14" s="251" t="s">
        <v>89</v>
      </c>
      <c r="G14" s="250">
        <f t="shared" si="0"/>
        <v>1366926</v>
      </c>
      <c r="H14" s="250">
        <f t="shared" si="0"/>
        <v>1283191</v>
      </c>
    </row>
    <row r="15" spans="1:8" ht="38.25">
      <c r="A15" s="251" t="s">
        <v>736</v>
      </c>
      <c r="B15" s="251"/>
      <c r="C15" s="248" t="s">
        <v>535</v>
      </c>
      <c r="D15" s="248" t="s">
        <v>537</v>
      </c>
      <c r="E15" s="248" t="s">
        <v>693</v>
      </c>
      <c r="F15" s="248" t="s">
        <v>89</v>
      </c>
      <c r="G15" s="250">
        <f t="shared" si="0"/>
        <v>1366926</v>
      </c>
      <c r="H15" s="250">
        <f t="shared" si="0"/>
        <v>1283191</v>
      </c>
    </row>
    <row r="16" spans="1:8" ht="89.25">
      <c r="A16" s="13" t="s">
        <v>740</v>
      </c>
      <c r="B16" s="13"/>
      <c r="C16" s="248" t="s">
        <v>535</v>
      </c>
      <c r="D16" s="248" t="s">
        <v>537</v>
      </c>
      <c r="E16" s="248" t="s">
        <v>693</v>
      </c>
      <c r="F16" s="248" t="s">
        <v>597</v>
      </c>
      <c r="G16" s="247">
        <v>1366926</v>
      </c>
      <c r="H16" s="247">
        <v>1283191</v>
      </c>
    </row>
    <row r="17" spans="1:8" ht="76.5">
      <c r="A17" s="269" t="s">
        <v>726</v>
      </c>
      <c r="B17" s="269"/>
      <c r="C17" s="268" t="s">
        <v>535</v>
      </c>
      <c r="D17" s="268" t="s">
        <v>538</v>
      </c>
      <c r="E17" s="268" t="s">
        <v>89</v>
      </c>
      <c r="F17" s="268" t="s">
        <v>89</v>
      </c>
      <c r="G17" s="250">
        <f aca="true" t="shared" si="1" ref="G17:H19">G18</f>
        <v>12571750</v>
      </c>
      <c r="H17" s="250">
        <f t="shared" si="1"/>
        <v>11800895</v>
      </c>
    </row>
    <row r="18" spans="1:8" ht="25.5">
      <c r="A18" s="13" t="s">
        <v>473</v>
      </c>
      <c r="B18" s="13"/>
      <c r="C18" s="248" t="s">
        <v>535</v>
      </c>
      <c r="D18" s="248" t="s">
        <v>538</v>
      </c>
      <c r="E18" s="248" t="s">
        <v>694</v>
      </c>
      <c r="F18" s="248" t="s">
        <v>89</v>
      </c>
      <c r="G18" s="250">
        <f t="shared" si="1"/>
        <v>12571750</v>
      </c>
      <c r="H18" s="250">
        <f t="shared" si="1"/>
        <v>11800895</v>
      </c>
    </row>
    <row r="19" spans="1:8" ht="25.5">
      <c r="A19" s="13" t="s">
        <v>477</v>
      </c>
      <c r="B19" s="13"/>
      <c r="C19" s="248" t="s">
        <v>535</v>
      </c>
      <c r="D19" s="248" t="s">
        <v>538</v>
      </c>
      <c r="E19" s="248" t="s">
        <v>695</v>
      </c>
      <c r="F19" s="251" t="s">
        <v>89</v>
      </c>
      <c r="G19" s="250">
        <f t="shared" si="1"/>
        <v>12571750</v>
      </c>
      <c r="H19" s="250">
        <f t="shared" si="1"/>
        <v>11800895</v>
      </c>
    </row>
    <row r="20" spans="1:8" ht="38.25">
      <c r="A20" s="251" t="s">
        <v>736</v>
      </c>
      <c r="B20" s="251"/>
      <c r="C20" s="248" t="s">
        <v>535</v>
      </c>
      <c r="D20" s="248" t="s">
        <v>538</v>
      </c>
      <c r="E20" s="248" t="s">
        <v>697</v>
      </c>
      <c r="F20" s="248" t="s">
        <v>89</v>
      </c>
      <c r="G20" s="250">
        <f>SUM(G21:G23)</f>
        <v>12571750</v>
      </c>
      <c r="H20" s="250">
        <f>SUM(H21:H23)</f>
        <v>11800895</v>
      </c>
    </row>
    <row r="21" spans="1:8" ht="89.25">
      <c r="A21" s="13" t="s">
        <v>740</v>
      </c>
      <c r="B21" s="13"/>
      <c r="C21" s="248" t="s">
        <v>535</v>
      </c>
      <c r="D21" s="248" t="s">
        <v>538</v>
      </c>
      <c r="E21" s="248" t="s">
        <v>697</v>
      </c>
      <c r="F21" s="248">
        <v>100</v>
      </c>
      <c r="G21" s="247">
        <v>11857799</v>
      </c>
      <c r="H21" s="247">
        <v>11130717</v>
      </c>
    </row>
    <row r="22" spans="1:8" ht="38.25">
      <c r="A22" s="13" t="s">
        <v>232</v>
      </c>
      <c r="B22" s="13"/>
      <c r="C22" s="248" t="s">
        <v>535</v>
      </c>
      <c r="D22" s="248" t="s">
        <v>538</v>
      </c>
      <c r="E22" s="248" t="s">
        <v>697</v>
      </c>
      <c r="F22" s="248">
        <v>200</v>
      </c>
      <c r="G22" s="247">
        <v>590765</v>
      </c>
      <c r="H22" s="247">
        <v>554545</v>
      </c>
    </row>
    <row r="23" spans="1:8" ht="12.75">
      <c r="A23" s="13" t="s">
        <v>79</v>
      </c>
      <c r="B23" s="13"/>
      <c r="C23" s="248" t="s">
        <v>535</v>
      </c>
      <c r="D23" s="248" t="s">
        <v>538</v>
      </c>
      <c r="E23" s="248" t="s">
        <v>697</v>
      </c>
      <c r="F23" s="248">
        <v>800</v>
      </c>
      <c r="G23" s="247">
        <v>123186</v>
      </c>
      <c r="H23" s="247">
        <v>115633</v>
      </c>
    </row>
    <row r="24" spans="1:8" ht="12.75">
      <c r="A24" s="269" t="s">
        <v>540</v>
      </c>
      <c r="B24" s="269"/>
      <c r="C24" s="268" t="s">
        <v>535</v>
      </c>
      <c r="D24" s="268" t="s">
        <v>541</v>
      </c>
      <c r="E24" s="268" t="s">
        <v>89</v>
      </c>
      <c r="F24" s="268" t="s">
        <v>89</v>
      </c>
      <c r="G24" s="250">
        <f aca="true" t="shared" si="2" ref="G24:H27">G25</f>
        <v>100000</v>
      </c>
      <c r="H24" s="250">
        <f t="shared" si="2"/>
        <v>93869</v>
      </c>
    </row>
    <row r="25" spans="1:8" ht="25.5">
      <c r="A25" s="13" t="s">
        <v>178</v>
      </c>
      <c r="B25" s="13"/>
      <c r="C25" s="248" t="s">
        <v>535</v>
      </c>
      <c r="D25" s="248" t="s">
        <v>541</v>
      </c>
      <c r="E25" s="248" t="s">
        <v>704</v>
      </c>
      <c r="F25" s="248" t="s">
        <v>89</v>
      </c>
      <c r="G25" s="250">
        <f t="shared" si="2"/>
        <v>100000</v>
      </c>
      <c r="H25" s="250">
        <f t="shared" si="2"/>
        <v>93869</v>
      </c>
    </row>
    <row r="26" spans="1:8" ht="12.75">
      <c r="A26" s="13" t="s">
        <v>540</v>
      </c>
      <c r="B26" s="13"/>
      <c r="C26" s="248" t="s">
        <v>535</v>
      </c>
      <c r="D26" s="248" t="s">
        <v>541</v>
      </c>
      <c r="E26" s="248" t="s">
        <v>705</v>
      </c>
      <c r="F26" s="251" t="s">
        <v>89</v>
      </c>
      <c r="G26" s="250">
        <f t="shared" si="2"/>
        <v>100000</v>
      </c>
      <c r="H26" s="250">
        <f t="shared" si="2"/>
        <v>93869</v>
      </c>
    </row>
    <row r="27" spans="1:8" ht="25.5">
      <c r="A27" s="251" t="s">
        <v>265</v>
      </c>
      <c r="B27" s="251"/>
      <c r="C27" s="248" t="s">
        <v>535</v>
      </c>
      <c r="D27" s="248" t="s">
        <v>541</v>
      </c>
      <c r="E27" s="248" t="s">
        <v>226</v>
      </c>
      <c r="F27" s="264" t="s">
        <v>89</v>
      </c>
      <c r="G27" s="250">
        <f t="shared" si="2"/>
        <v>100000</v>
      </c>
      <c r="H27" s="250">
        <f t="shared" si="2"/>
        <v>93869</v>
      </c>
    </row>
    <row r="28" spans="1:8" ht="12.75">
      <c r="A28" s="13" t="s">
        <v>79</v>
      </c>
      <c r="B28" s="13"/>
      <c r="C28" s="248" t="s">
        <v>535</v>
      </c>
      <c r="D28" s="248" t="s">
        <v>541</v>
      </c>
      <c r="E28" s="248" t="s">
        <v>226</v>
      </c>
      <c r="F28" s="248" t="s">
        <v>80</v>
      </c>
      <c r="G28" s="247">
        <v>100000</v>
      </c>
      <c r="H28" s="247">
        <v>93869</v>
      </c>
    </row>
    <row r="29" spans="1:8" ht="25.5">
      <c r="A29" s="269" t="s">
        <v>475</v>
      </c>
      <c r="B29" s="269"/>
      <c r="C29" s="268" t="s">
        <v>535</v>
      </c>
      <c r="D29" s="268" t="s">
        <v>102</v>
      </c>
      <c r="E29" s="268" t="s">
        <v>89</v>
      </c>
      <c r="F29" s="268" t="s">
        <v>89</v>
      </c>
      <c r="G29" s="250">
        <f>G30+G36+G41+G51+G55+G46</f>
        <v>24174389</v>
      </c>
      <c r="H29" s="250">
        <f>H30+H36+H41+H51+H55+H46</f>
        <v>23023401</v>
      </c>
    </row>
    <row r="30" spans="1:8" ht="89.25">
      <c r="A30" s="194" t="s">
        <v>716</v>
      </c>
      <c r="B30" s="266"/>
      <c r="C30" s="248" t="s">
        <v>535</v>
      </c>
      <c r="D30" s="248" t="s">
        <v>102</v>
      </c>
      <c r="E30" s="249" t="s">
        <v>8</v>
      </c>
      <c r="F30" s="248" t="s">
        <v>89</v>
      </c>
      <c r="G30" s="250">
        <f aca="true" t="shared" si="3" ref="G30:H32">G31</f>
        <v>662105</v>
      </c>
      <c r="H30" s="250">
        <f t="shared" si="3"/>
        <v>903118</v>
      </c>
    </row>
    <row r="31" spans="1:8" ht="51">
      <c r="A31" s="269" t="s">
        <v>480</v>
      </c>
      <c r="B31" s="269"/>
      <c r="C31" s="248" t="s">
        <v>535</v>
      </c>
      <c r="D31" s="248" t="s">
        <v>102</v>
      </c>
      <c r="E31" s="249" t="s">
        <v>9</v>
      </c>
      <c r="F31" s="264" t="s">
        <v>89</v>
      </c>
      <c r="G31" s="250">
        <f t="shared" si="3"/>
        <v>662105</v>
      </c>
      <c r="H31" s="250">
        <f t="shared" si="3"/>
        <v>903118</v>
      </c>
    </row>
    <row r="32" spans="1:8" ht="63.75">
      <c r="A32" s="29" t="s">
        <v>39</v>
      </c>
      <c r="B32" s="29"/>
      <c r="C32" s="248" t="s">
        <v>535</v>
      </c>
      <c r="D32" s="248" t="s">
        <v>102</v>
      </c>
      <c r="E32" s="249" t="s">
        <v>10</v>
      </c>
      <c r="F32" s="264"/>
      <c r="G32" s="250">
        <f t="shared" si="3"/>
        <v>662105</v>
      </c>
      <c r="H32" s="250">
        <f t="shared" si="3"/>
        <v>903118</v>
      </c>
    </row>
    <row r="33" spans="1:8" ht="25.5">
      <c r="A33" s="251" t="s">
        <v>287</v>
      </c>
      <c r="B33" s="251"/>
      <c r="C33" s="248" t="s">
        <v>535</v>
      </c>
      <c r="D33" s="248" t="s">
        <v>102</v>
      </c>
      <c r="E33" s="249" t="s">
        <v>11</v>
      </c>
      <c r="F33" s="264" t="s">
        <v>89</v>
      </c>
      <c r="G33" s="250">
        <f>SUM(G34:G35)</f>
        <v>662105</v>
      </c>
      <c r="H33" s="250">
        <f>SUM(H34:H35)</f>
        <v>903118</v>
      </c>
    </row>
    <row r="34" spans="1:8" ht="38.25">
      <c r="A34" s="13" t="s">
        <v>232</v>
      </c>
      <c r="B34" s="13"/>
      <c r="C34" s="248" t="s">
        <v>535</v>
      </c>
      <c r="D34" s="248" t="s">
        <v>102</v>
      </c>
      <c r="E34" s="249" t="s">
        <v>11</v>
      </c>
      <c r="F34" s="248" t="s">
        <v>76</v>
      </c>
      <c r="G34" s="247">
        <v>203125</v>
      </c>
      <c r="H34" s="247">
        <v>472278</v>
      </c>
    </row>
    <row r="35" spans="1:8" ht="12.75">
      <c r="A35" s="13" t="s">
        <v>79</v>
      </c>
      <c r="B35" s="13"/>
      <c r="C35" s="248" t="s">
        <v>535</v>
      </c>
      <c r="D35" s="248" t="s">
        <v>102</v>
      </c>
      <c r="E35" s="249" t="s">
        <v>11</v>
      </c>
      <c r="F35" s="248">
        <v>800</v>
      </c>
      <c r="G35" s="247">
        <v>458980</v>
      </c>
      <c r="H35" s="247">
        <v>430840</v>
      </c>
    </row>
    <row r="36" spans="1:8" ht="76.5">
      <c r="A36" s="266" t="s">
        <v>300</v>
      </c>
      <c r="B36" s="266"/>
      <c r="C36" s="248" t="s">
        <v>535</v>
      </c>
      <c r="D36" s="248" t="s">
        <v>102</v>
      </c>
      <c r="E36" s="248" t="s">
        <v>12</v>
      </c>
      <c r="F36" s="248"/>
      <c r="G36" s="250">
        <f aca="true" t="shared" si="4" ref="G36:H39">G37</f>
        <v>50000</v>
      </c>
      <c r="H36" s="250">
        <f t="shared" si="4"/>
        <v>46934</v>
      </c>
    </row>
    <row r="37" spans="1:8" ht="114.75">
      <c r="A37" s="12" t="s">
        <v>301</v>
      </c>
      <c r="B37" s="12"/>
      <c r="C37" s="248" t="s">
        <v>535</v>
      </c>
      <c r="D37" s="248" t="s">
        <v>102</v>
      </c>
      <c r="E37" s="248" t="s">
        <v>13</v>
      </c>
      <c r="F37" s="248"/>
      <c r="G37" s="250">
        <f t="shared" si="4"/>
        <v>50000</v>
      </c>
      <c r="H37" s="250">
        <f t="shared" si="4"/>
        <v>46934</v>
      </c>
    </row>
    <row r="38" spans="1:8" ht="39.75" customHeight="1">
      <c r="A38" s="78" t="s">
        <v>288</v>
      </c>
      <c r="B38" s="13"/>
      <c r="C38" s="248" t="s">
        <v>535</v>
      </c>
      <c r="D38" s="248" t="s">
        <v>102</v>
      </c>
      <c r="E38" s="76" t="s">
        <v>112</v>
      </c>
      <c r="F38" s="76"/>
      <c r="G38" s="250">
        <f t="shared" si="4"/>
        <v>50000</v>
      </c>
      <c r="H38" s="250">
        <f t="shared" si="4"/>
        <v>46934</v>
      </c>
    </row>
    <row r="39" spans="1:8" ht="48">
      <c r="A39" s="30" t="s">
        <v>275</v>
      </c>
      <c r="B39" s="13"/>
      <c r="C39" s="248" t="s">
        <v>535</v>
      </c>
      <c r="D39" s="248" t="s">
        <v>102</v>
      </c>
      <c r="E39" s="76" t="s">
        <v>289</v>
      </c>
      <c r="F39" s="76"/>
      <c r="G39" s="250">
        <f t="shared" si="4"/>
        <v>50000</v>
      </c>
      <c r="H39" s="250">
        <f t="shared" si="4"/>
        <v>46934</v>
      </c>
    </row>
    <row r="40" spans="1:8" ht="38.25">
      <c r="A40" s="78" t="s">
        <v>232</v>
      </c>
      <c r="B40" s="13"/>
      <c r="C40" s="248" t="s">
        <v>535</v>
      </c>
      <c r="D40" s="248" t="s">
        <v>102</v>
      </c>
      <c r="E40" s="76" t="s">
        <v>289</v>
      </c>
      <c r="F40" s="76">
        <v>200</v>
      </c>
      <c r="G40" s="250">
        <v>50000</v>
      </c>
      <c r="H40" s="250">
        <v>46934</v>
      </c>
    </row>
    <row r="41" spans="1:8" ht="76.5">
      <c r="A41" s="266" t="s">
        <v>718</v>
      </c>
      <c r="B41" s="266"/>
      <c r="C41" s="248" t="s">
        <v>535</v>
      </c>
      <c r="D41" s="248" t="s">
        <v>102</v>
      </c>
      <c r="E41" s="248" t="s">
        <v>113</v>
      </c>
      <c r="F41" s="248"/>
      <c r="G41" s="250">
        <f aca="true" t="shared" si="5" ref="G41:H44">G42</f>
        <v>30000</v>
      </c>
      <c r="H41" s="250">
        <f t="shared" si="5"/>
        <v>28161</v>
      </c>
    </row>
    <row r="42" spans="1:8" ht="89.25">
      <c r="A42" s="12" t="s">
        <v>719</v>
      </c>
      <c r="B42" s="12"/>
      <c r="C42" s="248" t="s">
        <v>535</v>
      </c>
      <c r="D42" s="248" t="s">
        <v>102</v>
      </c>
      <c r="E42" s="248" t="s">
        <v>114</v>
      </c>
      <c r="F42" s="248"/>
      <c r="G42" s="250">
        <f t="shared" si="5"/>
        <v>30000</v>
      </c>
      <c r="H42" s="250">
        <f t="shared" si="5"/>
        <v>28161</v>
      </c>
    </row>
    <row r="43" spans="1:8" ht="38.25">
      <c r="A43" s="13" t="s">
        <v>115</v>
      </c>
      <c r="B43" s="13"/>
      <c r="C43" s="248" t="s">
        <v>535</v>
      </c>
      <c r="D43" s="248" t="s">
        <v>102</v>
      </c>
      <c r="E43" s="248" t="s">
        <v>116</v>
      </c>
      <c r="F43" s="248"/>
      <c r="G43" s="250">
        <f t="shared" si="5"/>
        <v>30000</v>
      </c>
      <c r="H43" s="250">
        <f t="shared" si="5"/>
        <v>28161</v>
      </c>
    </row>
    <row r="44" spans="1:8" ht="51">
      <c r="A44" s="13" t="s">
        <v>118</v>
      </c>
      <c r="B44" s="13"/>
      <c r="C44" s="248" t="s">
        <v>535</v>
      </c>
      <c r="D44" s="248" t="s">
        <v>102</v>
      </c>
      <c r="E44" s="248" t="s">
        <v>117</v>
      </c>
      <c r="F44" s="248"/>
      <c r="G44" s="250">
        <f t="shared" si="5"/>
        <v>30000</v>
      </c>
      <c r="H44" s="250">
        <f t="shared" si="5"/>
        <v>28161</v>
      </c>
    </row>
    <row r="45" spans="1:8" ht="38.25">
      <c r="A45" s="13" t="s">
        <v>232</v>
      </c>
      <c r="B45" s="13"/>
      <c r="C45" s="248" t="s">
        <v>535</v>
      </c>
      <c r="D45" s="248" t="s">
        <v>102</v>
      </c>
      <c r="E45" s="248" t="s">
        <v>117</v>
      </c>
      <c r="F45" s="248">
        <v>200</v>
      </c>
      <c r="G45" s="247">
        <v>30000</v>
      </c>
      <c r="H45" s="247">
        <v>28161</v>
      </c>
    </row>
    <row r="46" spans="1:8" ht="25.5">
      <c r="A46" s="13" t="s">
        <v>473</v>
      </c>
      <c r="B46" s="13"/>
      <c r="C46" s="248" t="s">
        <v>535</v>
      </c>
      <c r="D46" s="248" t="s">
        <v>102</v>
      </c>
      <c r="E46" s="248" t="s">
        <v>694</v>
      </c>
      <c r="F46" s="248" t="s">
        <v>89</v>
      </c>
      <c r="G46" s="250">
        <f>G47</f>
        <v>334700</v>
      </c>
      <c r="H46" s="250">
        <f>H47</f>
        <v>334700</v>
      </c>
    </row>
    <row r="47" spans="1:8" ht="25.5">
      <c r="A47" s="13" t="s">
        <v>477</v>
      </c>
      <c r="B47" s="13"/>
      <c r="C47" s="248" t="s">
        <v>535</v>
      </c>
      <c r="D47" s="248" t="s">
        <v>102</v>
      </c>
      <c r="E47" s="248" t="s">
        <v>695</v>
      </c>
      <c r="F47" s="251" t="s">
        <v>89</v>
      </c>
      <c r="G47" s="250">
        <f>G48</f>
        <v>334700</v>
      </c>
      <c r="H47" s="250">
        <f>H48</f>
        <v>334700</v>
      </c>
    </row>
    <row r="48" spans="1:8" ht="63.75">
      <c r="A48" s="13" t="s">
        <v>297</v>
      </c>
      <c r="B48" s="13"/>
      <c r="C48" s="248" t="s">
        <v>535</v>
      </c>
      <c r="D48" s="248" t="s">
        <v>102</v>
      </c>
      <c r="E48" s="248" t="s">
        <v>696</v>
      </c>
      <c r="F48" s="251"/>
      <c r="G48" s="250">
        <f>SUM(G49:G50)</f>
        <v>334700</v>
      </c>
      <c r="H48" s="250">
        <f>SUM(H49:H50)</f>
        <v>334700</v>
      </c>
    </row>
    <row r="49" spans="1:8" ht="89.25">
      <c r="A49" s="13" t="s">
        <v>740</v>
      </c>
      <c r="B49" s="13"/>
      <c r="C49" s="248" t="s">
        <v>535</v>
      </c>
      <c r="D49" s="248" t="s">
        <v>102</v>
      </c>
      <c r="E49" s="248" t="s">
        <v>696</v>
      </c>
      <c r="F49" s="251">
        <v>100</v>
      </c>
      <c r="G49" s="247">
        <v>300582</v>
      </c>
      <c r="H49" s="247">
        <v>300582</v>
      </c>
    </row>
    <row r="50" spans="1:8" ht="38.25">
      <c r="A50" s="13" t="s">
        <v>232</v>
      </c>
      <c r="B50" s="13"/>
      <c r="C50" s="248" t="s">
        <v>535</v>
      </c>
      <c r="D50" s="248" t="s">
        <v>102</v>
      </c>
      <c r="E50" s="248" t="s">
        <v>696</v>
      </c>
      <c r="F50" s="251">
        <v>200</v>
      </c>
      <c r="G50" s="247">
        <v>34118</v>
      </c>
      <c r="H50" s="247">
        <v>34118</v>
      </c>
    </row>
    <row r="51" spans="1:8" ht="38.25">
      <c r="A51" s="13" t="s">
        <v>525</v>
      </c>
      <c r="B51" s="13"/>
      <c r="C51" s="248" t="s">
        <v>535</v>
      </c>
      <c r="D51" s="248" t="s">
        <v>102</v>
      </c>
      <c r="E51" s="249" t="s">
        <v>524</v>
      </c>
      <c r="F51" s="248"/>
      <c r="G51" s="250">
        <f aca="true" t="shared" si="6" ref="G51:H53">G52</f>
        <v>59900</v>
      </c>
      <c r="H51" s="250">
        <f t="shared" si="6"/>
        <v>56227</v>
      </c>
    </row>
    <row r="52" spans="1:8" ht="25.5">
      <c r="A52" s="12" t="s">
        <v>523</v>
      </c>
      <c r="B52" s="12"/>
      <c r="C52" s="248" t="s">
        <v>535</v>
      </c>
      <c r="D52" s="248" t="s">
        <v>102</v>
      </c>
      <c r="E52" s="249" t="s">
        <v>522</v>
      </c>
      <c r="F52" s="248"/>
      <c r="G52" s="250">
        <f t="shared" si="6"/>
        <v>59900</v>
      </c>
      <c r="H52" s="250">
        <f t="shared" si="6"/>
        <v>56227</v>
      </c>
    </row>
    <row r="53" spans="1:8" ht="38.25">
      <c r="A53" s="251" t="s">
        <v>38</v>
      </c>
      <c r="B53" s="251"/>
      <c r="C53" s="248" t="s">
        <v>535</v>
      </c>
      <c r="D53" s="248" t="s">
        <v>102</v>
      </c>
      <c r="E53" s="249" t="s">
        <v>721</v>
      </c>
      <c r="F53" s="248"/>
      <c r="G53" s="250">
        <f t="shared" si="6"/>
        <v>59900</v>
      </c>
      <c r="H53" s="250">
        <f t="shared" si="6"/>
        <v>56227</v>
      </c>
    </row>
    <row r="54" spans="1:8" ht="12.75">
      <c r="A54" s="13" t="s">
        <v>79</v>
      </c>
      <c r="B54" s="13"/>
      <c r="C54" s="248" t="s">
        <v>535</v>
      </c>
      <c r="D54" s="248" t="s">
        <v>102</v>
      </c>
      <c r="E54" s="249" t="s">
        <v>721</v>
      </c>
      <c r="F54" s="248">
        <v>800</v>
      </c>
      <c r="G54" s="247">
        <v>59900</v>
      </c>
      <c r="H54" s="247">
        <v>56227</v>
      </c>
    </row>
    <row r="55" spans="1:8" ht="38.25">
      <c r="A55" s="266" t="s">
        <v>631</v>
      </c>
      <c r="B55" s="266"/>
      <c r="C55" s="248" t="s">
        <v>535</v>
      </c>
      <c r="D55" s="248" t="s">
        <v>102</v>
      </c>
      <c r="E55" s="249" t="s">
        <v>14</v>
      </c>
      <c r="F55" s="264" t="s">
        <v>89</v>
      </c>
      <c r="G55" s="250">
        <f>G56</f>
        <v>23037684</v>
      </c>
      <c r="H55" s="250">
        <f>H56</f>
        <v>21654261</v>
      </c>
    </row>
    <row r="56" spans="1:8" ht="25.5">
      <c r="A56" s="12" t="s">
        <v>641</v>
      </c>
      <c r="B56" s="12"/>
      <c r="C56" s="248" t="s">
        <v>535</v>
      </c>
      <c r="D56" s="248" t="s">
        <v>102</v>
      </c>
      <c r="E56" s="252" t="s">
        <v>16</v>
      </c>
      <c r="F56" s="265" t="s">
        <v>89</v>
      </c>
      <c r="G56" s="250">
        <f>G57+G61+G63+G65</f>
        <v>23037684</v>
      </c>
      <c r="H56" s="250">
        <f>H57+H61+H63+H65</f>
        <v>21654261</v>
      </c>
    </row>
    <row r="57" spans="1:8" ht="38.25">
      <c r="A57" s="251" t="s">
        <v>498</v>
      </c>
      <c r="B57" s="251"/>
      <c r="C57" s="248" t="s">
        <v>535</v>
      </c>
      <c r="D57" s="248" t="s">
        <v>102</v>
      </c>
      <c r="E57" s="249" t="s">
        <v>18</v>
      </c>
      <c r="F57" s="264" t="s">
        <v>89</v>
      </c>
      <c r="G57" s="250">
        <f>SUM(G58:G60)</f>
        <v>22740334</v>
      </c>
      <c r="H57" s="250">
        <f>SUM(H58:H60)</f>
        <v>21346108</v>
      </c>
    </row>
    <row r="58" spans="1:8" ht="89.25">
      <c r="A58" s="13" t="s">
        <v>740</v>
      </c>
      <c r="B58" s="13"/>
      <c r="C58" s="248" t="s">
        <v>535</v>
      </c>
      <c r="D58" s="248" t="s">
        <v>102</v>
      </c>
      <c r="E58" s="249" t="s">
        <v>18</v>
      </c>
      <c r="F58" s="248" t="s">
        <v>597</v>
      </c>
      <c r="G58" s="247">
        <v>21759087</v>
      </c>
      <c r="H58" s="247">
        <v>20425022</v>
      </c>
    </row>
    <row r="59" spans="1:8" ht="38.25">
      <c r="A59" s="13" t="s">
        <v>232</v>
      </c>
      <c r="B59" s="13"/>
      <c r="C59" s="248" t="s">
        <v>535</v>
      </c>
      <c r="D59" s="248" t="s">
        <v>102</v>
      </c>
      <c r="E59" s="249" t="s">
        <v>18</v>
      </c>
      <c r="F59" s="248" t="s">
        <v>76</v>
      </c>
      <c r="G59" s="247">
        <v>934400</v>
      </c>
      <c r="H59" s="247">
        <v>877111</v>
      </c>
    </row>
    <row r="60" spans="1:8" ht="12.75">
      <c r="A60" s="13" t="s">
        <v>79</v>
      </c>
      <c r="B60" s="13"/>
      <c r="C60" s="248" t="s">
        <v>535</v>
      </c>
      <c r="D60" s="248" t="s">
        <v>102</v>
      </c>
      <c r="E60" s="249" t="s">
        <v>18</v>
      </c>
      <c r="F60" s="248" t="s">
        <v>80</v>
      </c>
      <c r="G60" s="247">
        <v>46847</v>
      </c>
      <c r="H60" s="247">
        <v>43975</v>
      </c>
    </row>
    <row r="61" spans="1:8" ht="38.25">
      <c r="A61" s="251" t="s">
        <v>38</v>
      </c>
      <c r="B61" s="13"/>
      <c r="C61" s="248" t="s">
        <v>535</v>
      </c>
      <c r="D61" s="248" t="s">
        <v>102</v>
      </c>
      <c r="E61" s="249" t="s">
        <v>345</v>
      </c>
      <c r="F61" s="248"/>
      <c r="G61" s="247">
        <f>G62</f>
        <v>0</v>
      </c>
      <c r="H61" s="247">
        <f>H62</f>
        <v>0</v>
      </c>
    </row>
    <row r="62" spans="1:8" ht="12.75">
      <c r="A62" s="13" t="s">
        <v>79</v>
      </c>
      <c r="B62" s="13"/>
      <c r="C62" s="248" t="s">
        <v>535</v>
      </c>
      <c r="D62" s="248" t="s">
        <v>102</v>
      </c>
      <c r="E62" s="249" t="s">
        <v>345</v>
      </c>
      <c r="F62" s="248">
        <v>800</v>
      </c>
      <c r="G62" s="247"/>
      <c r="H62" s="247"/>
    </row>
    <row r="63" spans="1:8" ht="38.25">
      <c r="A63" s="251" t="s">
        <v>468</v>
      </c>
      <c r="B63" s="251"/>
      <c r="C63" s="248" t="s">
        <v>535</v>
      </c>
      <c r="D63" s="248" t="s">
        <v>102</v>
      </c>
      <c r="E63" s="249" t="s">
        <v>19</v>
      </c>
      <c r="F63" s="264" t="s">
        <v>89</v>
      </c>
      <c r="G63" s="250">
        <f>G64</f>
        <v>130000</v>
      </c>
      <c r="H63" s="250">
        <f>H64</f>
        <v>140803</v>
      </c>
    </row>
    <row r="64" spans="1:8" ht="38.25">
      <c r="A64" s="13" t="s">
        <v>232</v>
      </c>
      <c r="B64" s="13"/>
      <c r="C64" s="248" t="s">
        <v>535</v>
      </c>
      <c r="D64" s="248" t="s">
        <v>102</v>
      </c>
      <c r="E64" s="249" t="s">
        <v>19</v>
      </c>
      <c r="F64" s="249">
        <v>200</v>
      </c>
      <c r="G64" s="247">
        <v>130000</v>
      </c>
      <c r="H64" s="247">
        <v>140803</v>
      </c>
    </row>
    <row r="65" spans="1:8" ht="89.25">
      <c r="A65" s="27" t="s">
        <v>772</v>
      </c>
      <c r="B65" s="27"/>
      <c r="C65" s="248" t="s">
        <v>535</v>
      </c>
      <c r="D65" s="248" t="s">
        <v>102</v>
      </c>
      <c r="E65" s="249" t="s">
        <v>48</v>
      </c>
      <c r="F65" s="249"/>
      <c r="G65" s="250">
        <f>SUM(G66:G67)</f>
        <v>167350</v>
      </c>
      <c r="H65" s="250">
        <f>SUM(H66:H67)</f>
        <v>167350</v>
      </c>
    </row>
    <row r="66" spans="1:8" ht="89.25">
      <c r="A66" s="13" t="s">
        <v>740</v>
      </c>
      <c r="B66" s="13"/>
      <c r="C66" s="248" t="s">
        <v>535</v>
      </c>
      <c r="D66" s="248" t="s">
        <v>102</v>
      </c>
      <c r="E66" s="249" t="s">
        <v>48</v>
      </c>
      <c r="F66" s="249">
        <v>100</v>
      </c>
      <c r="G66" s="247">
        <v>124992</v>
      </c>
      <c r="H66" s="247">
        <v>124992</v>
      </c>
    </row>
    <row r="67" spans="1:8" ht="38.25">
      <c r="A67" s="246" t="s">
        <v>232</v>
      </c>
      <c r="B67" s="246"/>
      <c r="C67" s="244" t="s">
        <v>535</v>
      </c>
      <c r="D67" s="244" t="s">
        <v>102</v>
      </c>
      <c r="E67" s="245" t="s">
        <v>48</v>
      </c>
      <c r="F67" s="245">
        <v>200</v>
      </c>
      <c r="G67" s="243">
        <v>42358</v>
      </c>
      <c r="H67" s="243">
        <v>42358</v>
      </c>
    </row>
    <row r="68" spans="1:8" ht="12.75">
      <c r="A68" s="226" t="s">
        <v>527</v>
      </c>
      <c r="B68" s="226"/>
      <c r="C68" s="224" t="s">
        <v>537</v>
      </c>
      <c r="D68" s="271" t="s">
        <v>466</v>
      </c>
      <c r="E68" s="224" t="s">
        <v>89</v>
      </c>
      <c r="F68" s="224" t="s">
        <v>89</v>
      </c>
      <c r="G68" s="223">
        <f aca="true" t="shared" si="7" ref="G68:H72">G69</f>
        <v>16200</v>
      </c>
      <c r="H68" s="223">
        <f t="shared" si="7"/>
        <v>15207</v>
      </c>
    </row>
    <row r="69" spans="1:8" ht="25.5">
      <c r="A69" s="269" t="s">
        <v>526</v>
      </c>
      <c r="B69" s="269"/>
      <c r="C69" s="268" t="s">
        <v>537</v>
      </c>
      <c r="D69" s="268" t="s">
        <v>538</v>
      </c>
      <c r="E69" s="267" t="s">
        <v>89</v>
      </c>
      <c r="F69" s="267" t="s">
        <v>89</v>
      </c>
      <c r="G69" s="250">
        <f t="shared" si="7"/>
        <v>16200</v>
      </c>
      <c r="H69" s="250">
        <f t="shared" si="7"/>
        <v>15207</v>
      </c>
    </row>
    <row r="70" spans="1:8" ht="38.25">
      <c r="A70" s="13" t="s">
        <v>525</v>
      </c>
      <c r="B70" s="13"/>
      <c r="C70" s="248" t="s">
        <v>537</v>
      </c>
      <c r="D70" s="248" t="s">
        <v>538</v>
      </c>
      <c r="E70" s="249" t="s">
        <v>524</v>
      </c>
      <c r="F70" s="264" t="s">
        <v>89</v>
      </c>
      <c r="G70" s="250">
        <f t="shared" si="7"/>
        <v>16200</v>
      </c>
      <c r="H70" s="250">
        <f t="shared" si="7"/>
        <v>15207</v>
      </c>
    </row>
    <row r="71" spans="1:8" ht="25.5">
      <c r="A71" s="13" t="s">
        <v>523</v>
      </c>
      <c r="B71" s="13"/>
      <c r="C71" s="248" t="s">
        <v>537</v>
      </c>
      <c r="D71" s="248" t="s">
        <v>538</v>
      </c>
      <c r="E71" s="249" t="s">
        <v>522</v>
      </c>
      <c r="F71" s="264"/>
      <c r="G71" s="250">
        <f t="shared" si="7"/>
        <v>16200</v>
      </c>
      <c r="H71" s="250">
        <f t="shared" si="7"/>
        <v>15207</v>
      </c>
    </row>
    <row r="72" spans="1:8" ht="38.25">
      <c r="A72" s="33" t="s">
        <v>521</v>
      </c>
      <c r="B72" s="33"/>
      <c r="C72" s="248" t="s">
        <v>537</v>
      </c>
      <c r="D72" s="248" t="s">
        <v>538</v>
      </c>
      <c r="E72" s="249" t="s">
        <v>520</v>
      </c>
      <c r="F72" s="265" t="s">
        <v>89</v>
      </c>
      <c r="G72" s="250">
        <f t="shared" si="7"/>
        <v>16200</v>
      </c>
      <c r="H72" s="250">
        <f t="shared" si="7"/>
        <v>15207</v>
      </c>
    </row>
    <row r="73" spans="1:8" ht="38.25">
      <c r="A73" s="246" t="s">
        <v>93</v>
      </c>
      <c r="B73" s="246"/>
      <c r="C73" s="244" t="s">
        <v>537</v>
      </c>
      <c r="D73" s="244" t="s">
        <v>538</v>
      </c>
      <c r="E73" s="245" t="s">
        <v>520</v>
      </c>
      <c r="F73" s="244">
        <v>200</v>
      </c>
      <c r="G73" s="243">
        <v>16200</v>
      </c>
      <c r="H73" s="243">
        <v>15207</v>
      </c>
    </row>
    <row r="74" spans="1:8" ht="38.25">
      <c r="A74" s="226" t="s">
        <v>476</v>
      </c>
      <c r="B74" s="226"/>
      <c r="C74" s="224" t="s">
        <v>103</v>
      </c>
      <c r="D74" s="271" t="s">
        <v>466</v>
      </c>
      <c r="E74" s="224" t="s">
        <v>89</v>
      </c>
      <c r="F74" s="224" t="s">
        <v>89</v>
      </c>
      <c r="G74" s="223">
        <f aca="true" t="shared" si="8" ref="G74:H78">G75</f>
        <v>2707710</v>
      </c>
      <c r="H74" s="223">
        <f t="shared" si="8"/>
        <v>2541699</v>
      </c>
    </row>
    <row r="75" spans="1:8" ht="51">
      <c r="A75" s="269" t="s">
        <v>485</v>
      </c>
      <c r="B75" s="269"/>
      <c r="C75" s="268" t="s">
        <v>103</v>
      </c>
      <c r="D75" s="268">
        <v>10</v>
      </c>
      <c r="E75" s="268" t="s">
        <v>89</v>
      </c>
      <c r="F75" s="268" t="s">
        <v>89</v>
      </c>
      <c r="G75" s="250">
        <f t="shared" si="8"/>
        <v>2707710</v>
      </c>
      <c r="H75" s="250">
        <f t="shared" si="8"/>
        <v>2541699</v>
      </c>
    </row>
    <row r="76" spans="1:8" ht="76.5">
      <c r="A76" s="266" t="s">
        <v>486</v>
      </c>
      <c r="B76" s="266"/>
      <c r="C76" s="248" t="s">
        <v>103</v>
      </c>
      <c r="D76" s="248">
        <v>10</v>
      </c>
      <c r="E76" s="249" t="s">
        <v>20</v>
      </c>
      <c r="F76" s="248" t="s">
        <v>89</v>
      </c>
      <c r="G76" s="250">
        <f t="shared" si="8"/>
        <v>2707710</v>
      </c>
      <c r="H76" s="250">
        <f t="shared" si="8"/>
        <v>2541699</v>
      </c>
    </row>
    <row r="77" spans="1:8" ht="127.5">
      <c r="A77" s="12" t="s">
        <v>298</v>
      </c>
      <c r="B77" s="12"/>
      <c r="C77" s="248" t="s">
        <v>103</v>
      </c>
      <c r="D77" s="248">
        <v>10</v>
      </c>
      <c r="E77" s="249" t="s">
        <v>21</v>
      </c>
      <c r="F77" s="248"/>
      <c r="G77" s="250">
        <f t="shared" si="8"/>
        <v>2707710</v>
      </c>
      <c r="H77" s="250">
        <f t="shared" si="8"/>
        <v>2541699</v>
      </c>
    </row>
    <row r="78" spans="1:8" ht="102">
      <c r="A78" s="28" t="s">
        <v>263</v>
      </c>
      <c r="B78" s="28"/>
      <c r="C78" s="248" t="s">
        <v>103</v>
      </c>
      <c r="D78" s="248">
        <v>10</v>
      </c>
      <c r="E78" s="249" t="s">
        <v>26</v>
      </c>
      <c r="F78" s="248"/>
      <c r="G78" s="250">
        <f t="shared" si="8"/>
        <v>2707710</v>
      </c>
      <c r="H78" s="250">
        <f t="shared" si="8"/>
        <v>2541699</v>
      </c>
    </row>
    <row r="79" spans="1:8" ht="38.25">
      <c r="A79" s="251" t="s">
        <v>498</v>
      </c>
      <c r="B79" s="251"/>
      <c r="C79" s="248" t="s">
        <v>103</v>
      </c>
      <c r="D79" s="248">
        <v>10</v>
      </c>
      <c r="E79" s="249" t="s">
        <v>27</v>
      </c>
      <c r="F79" s="248" t="s">
        <v>89</v>
      </c>
      <c r="G79" s="250">
        <f>SUM(G80:G82)</f>
        <v>2707710</v>
      </c>
      <c r="H79" s="250">
        <f>SUM(H80:H82)</f>
        <v>2541699</v>
      </c>
    </row>
    <row r="80" spans="1:8" ht="89.25">
      <c r="A80" s="13" t="s">
        <v>740</v>
      </c>
      <c r="B80" s="13"/>
      <c r="C80" s="248" t="s">
        <v>103</v>
      </c>
      <c r="D80" s="248">
        <v>10</v>
      </c>
      <c r="E80" s="249" t="s">
        <v>27</v>
      </c>
      <c r="F80" s="248" t="s">
        <v>597</v>
      </c>
      <c r="G80" s="247">
        <v>2562144</v>
      </c>
      <c r="H80" s="247">
        <v>2405057</v>
      </c>
    </row>
    <row r="81" spans="1:8" ht="38.25">
      <c r="A81" s="13" t="s">
        <v>232</v>
      </c>
      <c r="B81" s="13"/>
      <c r="C81" s="248" t="s">
        <v>103</v>
      </c>
      <c r="D81" s="248">
        <v>10</v>
      </c>
      <c r="E81" s="249" t="s">
        <v>27</v>
      </c>
      <c r="F81" s="248" t="s">
        <v>76</v>
      </c>
      <c r="G81" s="247">
        <v>144366</v>
      </c>
      <c r="H81" s="247">
        <v>135515</v>
      </c>
    </row>
    <row r="82" spans="1:8" ht="12.75">
      <c r="A82" s="246" t="s">
        <v>79</v>
      </c>
      <c r="B82" s="246"/>
      <c r="C82" s="244" t="s">
        <v>103</v>
      </c>
      <c r="D82" s="244">
        <v>10</v>
      </c>
      <c r="E82" s="245" t="s">
        <v>27</v>
      </c>
      <c r="F82" s="244" t="s">
        <v>80</v>
      </c>
      <c r="G82" s="243">
        <v>1200</v>
      </c>
      <c r="H82" s="243">
        <v>1127</v>
      </c>
    </row>
    <row r="83" spans="1:8" ht="12.75">
      <c r="A83" s="226" t="s">
        <v>728</v>
      </c>
      <c r="B83" s="226"/>
      <c r="C83" s="224" t="s">
        <v>538</v>
      </c>
      <c r="D83" s="271" t="s">
        <v>466</v>
      </c>
      <c r="E83" s="224" t="s">
        <v>89</v>
      </c>
      <c r="F83" s="224" t="s">
        <v>89</v>
      </c>
      <c r="G83" s="223">
        <f>G84+G90+G106</f>
        <v>4111374</v>
      </c>
      <c r="H83" s="223">
        <f>H84+H90+H106</f>
        <v>26949084.16</v>
      </c>
    </row>
    <row r="84" spans="1:8" ht="12.75">
      <c r="A84" s="269" t="s">
        <v>729</v>
      </c>
      <c r="B84" s="269"/>
      <c r="C84" s="268" t="s">
        <v>538</v>
      </c>
      <c r="D84" s="268" t="s">
        <v>535</v>
      </c>
      <c r="E84" s="268" t="s">
        <v>89</v>
      </c>
      <c r="F84" s="268" t="s">
        <v>89</v>
      </c>
      <c r="G84" s="250">
        <f aca="true" t="shared" si="9" ref="G84:H88">G85</f>
        <v>93421</v>
      </c>
      <c r="H84" s="250">
        <f t="shared" si="9"/>
        <v>87694</v>
      </c>
    </row>
    <row r="85" spans="1:8" ht="51">
      <c r="A85" s="266" t="s">
        <v>707</v>
      </c>
      <c r="B85" s="266"/>
      <c r="C85" s="248" t="s">
        <v>538</v>
      </c>
      <c r="D85" s="248" t="s">
        <v>535</v>
      </c>
      <c r="E85" s="249" t="s">
        <v>22</v>
      </c>
      <c r="F85" s="248" t="s">
        <v>89</v>
      </c>
      <c r="G85" s="250">
        <f t="shared" si="9"/>
        <v>93421</v>
      </c>
      <c r="H85" s="250">
        <f t="shared" si="9"/>
        <v>87694</v>
      </c>
    </row>
    <row r="86" spans="1:8" ht="76.5">
      <c r="A86" s="12" t="s">
        <v>589</v>
      </c>
      <c r="B86" s="12"/>
      <c r="C86" s="248" t="s">
        <v>538</v>
      </c>
      <c r="D86" s="248" t="s">
        <v>535</v>
      </c>
      <c r="E86" s="249" t="s">
        <v>23</v>
      </c>
      <c r="F86" s="248"/>
      <c r="G86" s="250">
        <f t="shared" si="9"/>
        <v>93421</v>
      </c>
      <c r="H86" s="250">
        <f t="shared" si="9"/>
        <v>87694</v>
      </c>
    </row>
    <row r="87" spans="1:8" ht="63.75">
      <c r="A87" s="29" t="s">
        <v>519</v>
      </c>
      <c r="B87" s="29"/>
      <c r="C87" s="248" t="s">
        <v>538</v>
      </c>
      <c r="D87" s="248" t="s">
        <v>535</v>
      </c>
      <c r="E87" s="249" t="s">
        <v>24</v>
      </c>
      <c r="F87" s="248"/>
      <c r="G87" s="250">
        <f t="shared" si="9"/>
        <v>93421</v>
      </c>
      <c r="H87" s="250">
        <f t="shared" si="9"/>
        <v>87694</v>
      </c>
    </row>
    <row r="88" spans="1:8" ht="25.5">
      <c r="A88" s="13" t="s">
        <v>706</v>
      </c>
      <c r="B88" s="13"/>
      <c r="C88" s="248" t="s">
        <v>538</v>
      </c>
      <c r="D88" s="248" t="s">
        <v>535</v>
      </c>
      <c r="E88" s="249" t="s">
        <v>25</v>
      </c>
      <c r="F88" s="248"/>
      <c r="G88" s="250">
        <f t="shared" si="9"/>
        <v>93421</v>
      </c>
      <c r="H88" s="250">
        <f t="shared" si="9"/>
        <v>87694</v>
      </c>
    </row>
    <row r="89" spans="1:8" ht="51">
      <c r="A89" s="13" t="s">
        <v>92</v>
      </c>
      <c r="B89" s="13"/>
      <c r="C89" s="248" t="s">
        <v>538</v>
      </c>
      <c r="D89" s="248" t="s">
        <v>535</v>
      </c>
      <c r="E89" s="249" t="s">
        <v>25</v>
      </c>
      <c r="F89" s="248">
        <v>600</v>
      </c>
      <c r="G89" s="247">
        <v>93421</v>
      </c>
      <c r="H89" s="247">
        <v>87694</v>
      </c>
    </row>
    <row r="90" spans="1:8" ht="25.5">
      <c r="A90" s="269" t="s">
        <v>88</v>
      </c>
      <c r="B90" s="269"/>
      <c r="C90" s="268" t="s">
        <v>538</v>
      </c>
      <c r="D90" s="268" t="s">
        <v>104</v>
      </c>
      <c r="E90" s="267" t="s">
        <v>89</v>
      </c>
      <c r="F90" s="267" t="s">
        <v>89</v>
      </c>
      <c r="G90" s="250">
        <f>G91</f>
        <v>2927430</v>
      </c>
      <c r="H90" s="250">
        <f>H91</f>
        <v>26654878.16</v>
      </c>
    </row>
    <row r="91" spans="1:8" ht="89.25">
      <c r="A91" s="266" t="s">
        <v>482</v>
      </c>
      <c r="B91" s="266"/>
      <c r="C91" s="248" t="s">
        <v>538</v>
      </c>
      <c r="D91" s="248" t="s">
        <v>104</v>
      </c>
      <c r="E91" s="249" t="s">
        <v>31</v>
      </c>
      <c r="F91" s="264" t="s">
        <v>89</v>
      </c>
      <c r="G91" s="250">
        <f>G92+G102</f>
        <v>2927430</v>
      </c>
      <c r="H91" s="250">
        <f>H92+H102</f>
        <v>26654878.16</v>
      </c>
    </row>
    <row r="92" spans="1:8" ht="114.75">
      <c r="A92" s="12" t="s">
        <v>49</v>
      </c>
      <c r="B92" s="12"/>
      <c r="C92" s="248" t="s">
        <v>538</v>
      </c>
      <c r="D92" s="248" t="s">
        <v>104</v>
      </c>
      <c r="E92" s="252" t="s">
        <v>237</v>
      </c>
      <c r="F92" s="265" t="s">
        <v>89</v>
      </c>
      <c r="G92" s="250">
        <f>G93+G96+G99</f>
        <v>2727158</v>
      </c>
      <c r="H92" s="250">
        <f>H93+H96+H99</f>
        <v>26654878.16</v>
      </c>
    </row>
    <row r="93" spans="1:8" ht="38.25">
      <c r="A93" s="29" t="s">
        <v>236</v>
      </c>
      <c r="B93" s="29"/>
      <c r="C93" s="248" t="s">
        <v>538</v>
      </c>
      <c r="D93" s="248" t="s">
        <v>104</v>
      </c>
      <c r="E93" s="249" t="s">
        <v>235</v>
      </c>
      <c r="F93" s="265"/>
      <c r="G93" s="250">
        <f>G94</f>
        <v>299728</v>
      </c>
      <c r="H93" s="250">
        <f>H94</f>
        <v>0</v>
      </c>
    </row>
    <row r="94" spans="1:8" ht="51">
      <c r="A94" s="33" t="s">
        <v>33</v>
      </c>
      <c r="B94" s="33"/>
      <c r="C94" s="248" t="s">
        <v>538</v>
      </c>
      <c r="D94" s="248" t="s">
        <v>104</v>
      </c>
      <c r="E94" s="249" t="s">
        <v>234</v>
      </c>
      <c r="F94" s="265"/>
      <c r="G94" s="250">
        <f>G95</f>
        <v>299728</v>
      </c>
      <c r="H94" s="250">
        <f>H95</f>
        <v>0</v>
      </c>
    </row>
    <row r="95" spans="1:8" ht="12.75">
      <c r="A95" s="13" t="s">
        <v>79</v>
      </c>
      <c r="B95" s="13"/>
      <c r="C95" s="248" t="s">
        <v>538</v>
      </c>
      <c r="D95" s="248" t="s">
        <v>104</v>
      </c>
      <c r="E95" s="249" t="s">
        <v>234</v>
      </c>
      <c r="F95" s="251">
        <v>800</v>
      </c>
      <c r="G95" s="247">
        <v>299728</v>
      </c>
      <c r="H95" s="247">
        <v>0</v>
      </c>
    </row>
    <row r="96" spans="1:8" ht="51">
      <c r="A96" s="29" t="s">
        <v>233</v>
      </c>
      <c r="B96" s="29"/>
      <c r="C96" s="248" t="s">
        <v>538</v>
      </c>
      <c r="D96" s="248" t="s">
        <v>104</v>
      </c>
      <c r="E96" s="249" t="s">
        <v>254</v>
      </c>
      <c r="F96" s="265"/>
      <c r="G96" s="250">
        <f>G97</f>
        <v>2427430</v>
      </c>
      <c r="H96" s="250">
        <f>H97</f>
        <v>26654878.16</v>
      </c>
    </row>
    <row r="97" spans="1:8" ht="63.75">
      <c r="A97" s="74" t="s">
        <v>633</v>
      </c>
      <c r="B97" s="74"/>
      <c r="C97" s="248" t="s">
        <v>538</v>
      </c>
      <c r="D97" s="248" t="s">
        <v>104</v>
      </c>
      <c r="E97" s="72" t="s">
        <v>632</v>
      </c>
      <c r="F97" s="248" t="s">
        <v>89</v>
      </c>
      <c r="G97" s="250">
        <f>G98</f>
        <v>2427430</v>
      </c>
      <c r="H97" s="250">
        <f>H98</f>
        <v>26654878.16</v>
      </c>
    </row>
    <row r="98" spans="1:8" ht="38.25">
      <c r="A98" s="13" t="s">
        <v>232</v>
      </c>
      <c r="B98" s="13"/>
      <c r="C98" s="248" t="s">
        <v>538</v>
      </c>
      <c r="D98" s="248" t="s">
        <v>104</v>
      </c>
      <c r="E98" s="72" t="s">
        <v>632</v>
      </c>
      <c r="F98" s="248">
        <v>200</v>
      </c>
      <c r="G98" s="247">
        <v>2427430</v>
      </c>
      <c r="H98" s="247">
        <v>26654878.16</v>
      </c>
    </row>
    <row r="99" spans="1:8" ht="63.75">
      <c r="A99" s="13" t="s">
        <v>67</v>
      </c>
      <c r="B99" s="13"/>
      <c r="C99" s="248" t="s">
        <v>538</v>
      </c>
      <c r="D99" s="248" t="s">
        <v>104</v>
      </c>
      <c r="E99" s="249" t="s">
        <v>68</v>
      </c>
      <c r="F99" s="248"/>
      <c r="G99" s="250">
        <f>G100</f>
        <v>0</v>
      </c>
      <c r="H99" s="250">
        <f>H100</f>
        <v>0</v>
      </c>
    </row>
    <row r="100" spans="1:8" ht="36">
      <c r="A100" s="30" t="s">
        <v>749</v>
      </c>
      <c r="B100" s="30"/>
      <c r="C100" s="248" t="s">
        <v>538</v>
      </c>
      <c r="D100" s="248" t="s">
        <v>104</v>
      </c>
      <c r="E100" s="249" t="s">
        <v>750</v>
      </c>
      <c r="F100" s="248"/>
      <c r="G100" s="250">
        <f>G101</f>
        <v>0</v>
      </c>
      <c r="H100" s="250">
        <f>H101</f>
        <v>0</v>
      </c>
    </row>
    <row r="101" spans="1:8" ht="38.25">
      <c r="A101" s="13" t="s">
        <v>225</v>
      </c>
      <c r="B101" s="13"/>
      <c r="C101" s="248" t="s">
        <v>538</v>
      </c>
      <c r="D101" s="248" t="s">
        <v>104</v>
      </c>
      <c r="E101" s="249" t="s">
        <v>750</v>
      </c>
      <c r="F101" s="248">
        <v>400</v>
      </c>
      <c r="G101" s="247"/>
      <c r="H101" s="247"/>
    </row>
    <row r="102" spans="1:8" ht="114.75">
      <c r="A102" s="12" t="s">
        <v>264</v>
      </c>
      <c r="B102" s="12"/>
      <c r="C102" s="248" t="s">
        <v>538</v>
      </c>
      <c r="D102" s="248" t="s">
        <v>104</v>
      </c>
      <c r="E102" s="252" t="s">
        <v>32</v>
      </c>
      <c r="F102" s="248"/>
      <c r="G102" s="250">
        <f aca="true" t="shared" si="10" ref="G102:H104">G103</f>
        <v>200272</v>
      </c>
      <c r="H102" s="250">
        <f t="shared" si="10"/>
        <v>0</v>
      </c>
    </row>
    <row r="103" spans="1:8" ht="102">
      <c r="A103" s="29" t="s">
        <v>101</v>
      </c>
      <c r="B103" s="29"/>
      <c r="C103" s="248" t="s">
        <v>538</v>
      </c>
      <c r="D103" s="248" t="s">
        <v>104</v>
      </c>
      <c r="E103" s="249" t="s">
        <v>453</v>
      </c>
      <c r="F103" s="248"/>
      <c r="G103" s="250">
        <f t="shared" si="10"/>
        <v>200272</v>
      </c>
      <c r="H103" s="250">
        <f t="shared" si="10"/>
        <v>0</v>
      </c>
    </row>
    <row r="104" spans="1:8" ht="63.75">
      <c r="A104" s="33" t="s">
        <v>634</v>
      </c>
      <c r="B104" s="33"/>
      <c r="C104" s="248" t="s">
        <v>538</v>
      </c>
      <c r="D104" s="248" t="s">
        <v>104</v>
      </c>
      <c r="E104" s="249" t="s">
        <v>351</v>
      </c>
      <c r="F104" s="248"/>
      <c r="G104" s="250">
        <f t="shared" si="10"/>
        <v>200272</v>
      </c>
      <c r="H104" s="250">
        <f t="shared" si="10"/>
        <v>0</v>
      </c>
    </row>
    <row r="105" spans="1:8" ht="12.75">
      <c r="A105" s="13" t="s">
        <v>79</v>
      </c>
      <c r="B105" s="13"/>
      <c r="C105" s="248" t="s">
        <v>538</v>
      </c>
      <c r="D105" s="248" t="s">
        <v>104</v>
      </c>
      <c r="E105" s="249" t="s">
        <v>351</v>
      </c>
      <c r="F105" s="248">
        <v>800</v>
      </c>
      <c r="G105" s="247">
        <v>200272</v>
      </c>
      <c r="H105" s="247">
        <v>0</v>
      </c>
    </row>
    <row r="106" spans="1:8" ht="25.5">
      <c r="A106" s="12" t="s">
        <v>556</v>
      </c>
      <c r="B106" s="12"/>
      <c r="C106" s="268" t="s">
        <v>538</v>
      </c>
      <c r="D106" s="268">
        <v>12</v>
      </c>
      <c r="E106" s="252"/>
      <c r="F106" s="268"/>
      <c r="G106" s="250">
        <f>G107+G111</f>
        <v>1090523</v>
      </c>
      <c r="H106" s="250">
        <f>H107+H111</f>
        <v>206512</v>
      </c>
    </row>
    <row r="107" spans="1:8" ht="63.75">
      <c r="A107" s="266" t="s">
        <v>50</v>
      </c>
      <c r="B107" s="266"/>
      <c r="C107" s="248" t="s">
        <v>538</v>
      </c>
      <c r="D107" s="248">
        <v>12</v>
      </c>
      <c r="E107" s="249" t="s">
        <v>635</v>
      </c>
      <c r="F107" s="248"/>
      <c r="G107" s="250">
        <f aca="true" t="shared" si="11" ref="G107:H109">G108</f>
        <v>20000</v>
      </c>
      <c r="H107" s="250">
        <f t="shared" si="11"/>
        <v>18774</v>
      </c>
    </row>
    <row r="108" spans="1:8" ht="36">
      <c r="A108" s="30" t="s">
        <v>638</v>
      </c>
      <c r="B108" s="30"/>
      <c r="C108" s="248" t="s">
        <v>538</v>
      </c>
      <c r="D108" s="248">
        <v>12</v>
      </c>
      <c r="E108" s="249" t="s">
        <v>637</v>
      </c>
      <c r="F108" s="248"/>
      <c r="G108" s="250">
        <f t="shared" si="11"/>
        <v>20000</v>
      </c>
      <c r="H108" s="250">
        <f t="shared" si="11"/>
        <v>18774</v>
      </c>
    </row>
    <row r="109" spans="1:8" ht="48">
      <c r="A109" s="30" t="s">
        <v>636</v>
      </c>
      <c r="B109" s="30"/>
      <c r="C109" s="248" t="s">
        <v>538</v>
      </c>
      <c r="D109" s="248">
        <v>12</v>
      </c>
      <c r="E109" s="249" t="s">
        <v>100</v>
      </c>
      <c r="F109" s="248"/>
      <c r="G109" s="250">
        <f t="shared" si="11"/>
        <v>20000</v>
      </c>
      <c r="H109" s="250">
        <f t="shared" si="11"/>
        <v>18774</v>
      </c>
    </row>
    <row r="110" spans="1:8" ht="12.75">
      <c r="A110" s="246" t="s">
        <v>79</v>
      </c>
      <c r="B110" s="246"/>
      <c r="C110" s="244" t="s">
        <v>538</v>
      </c>
      <c r="D110" s="244">
        <v>12</v>
      </c>
      <c r="E110" s="245" t="s">
        <v>100</v>
      </c>
      <c r="F110" s="244">
        <v>200</v>
      </c>
      <c r="G110" s="243">
        <v>20000</v>
      </c>
      <c r="H110" s="243">
        <v>18774</v>
      </c>
    </row>
    <row r="111" spans="1:8" ht="38.25">
      <c r="A111" s="121" t="s">
        <v>631</v>
      </c>
      <c r="B111" s="30"/>
      <c r="C111" s="118" t="s">
        <v>538</v>
      </c>
      <c r="D111" s="118">
        <v>12</v>
      </c>
      <c r="E111" s="150" t="s">
        <v>14</v>
      </c>
      <c r="F111" s="118"/>
      <c r="G111" s="460">
        <f>G113+G115+G117</f>
        <v>1070523</v>
      </c>
      <c r="H111" s="460">
        <f>H113+H115+H117</f>
        <v>187738</v>
      </c>
    </row>
    <row r="112" spans="1:8" ht="24">
      <c r="A112" s="30" t="s">
        <v>641</v>
      </c>
      <c r="B112" s="30"/>
      <c r="C112" s="248" t="s">
        <v>538</v>
      </c>
      <c r="D112" s="248">
        <v>12</v>
      </c>
      <c r="E112" s="249" t="s">
        <v>16</v>
      </c>
      <c r="F112" s="248"/>
      <c r="G112" s="250">
        <f>G113</f>
        <v>100000</v>
      </c>
      <c r="H112" s="250">
        <f>H113</f>
        <v>187738</v>
      </c>
    </row>
    <row r="113" spans="1:8" ht="48">
      <c r="A113" s="30" t="s">
        <v>98</v>
      </c>
      <c r="B113" s="30"/>
      <c r="C113" s="248" t="s">
        <v>538</v>
      </c>
      <c r="D113" s="248">
        <v>12</v>
      </c>
      <c r="E113" s="249" t="s">
        <v>99</v>
      </c>
      <c r="F113" s="248"/>
      <c r="G113" s="250">
        <f>G114</f>
        <v>100000</v>
      </c>
      <c r="H113" s="250">
        <f>H114</f>
        <v>187738</v>
      </c>
    </row>
    <row r="114" spans="1:8" ht="36">
      <c r="A114" s="30" t="s">
        <v>232</v>
      </c>
      <c r="B114" s="30"/>
      <c r="C114" s="248" t="s">
        <v>538</v>
      </c>
      <c r="D114" s="248">
        <v>12</v>
      </c>
      <c r="E114" s="249" t="s">
        <v>99</v>
      </c>
      <c r="F114" s="248">
        <v>200</v>
      </c>
      <c r="G114" s="250">
        <f>200000-100000</f>
        <v>100000</v>
      </c>
      <c r="H114" s="250">
        <v>187738</v>
      </c>
    </row>
    <row r="115" spans="1:8" ht="51">
      <c r="A115" s="492" t="s">
        <v>920</v>
      </c>
      <c r="B115" s="427"/>
      <c r="C115" s="191" t="s">
        <v>538</v>
      </c>
      <c r="D115" s="191">
        <v>12</v>
      </c>
      <c r="E115" s="249" t="s">
        <v>921</v>
      </c>
      <c r="F115" s="248"/>
      <c r="G115" s="250">
        <f>G116</f>
        <v>291157</v>
      </c>
      <c r="H115" s="250">
        <f>H116</f>
        <v>0</v>
      </c>
    </row>
    <row r="116" spans="1:8" ht="36">
      <c r="A116" s="427" t="s">
        <v>232</v>
      </c>
      <c r="B116" s="427"/>
      <c r="C116" s="191" t="s">
        <v>538</v>
      </c>
      <c r="D116" s="191">
        <v>12</v>
      </c>
      <c r="E116" s="249" t="s">
        <v>921</v>
      </c>
      <c r="F116" s="248">
        <v>200</v>
      </c>
      <c r="G116" s="250">
        <v>291157</v>
      </c>
      <c r="H116" s="250"/>
    </row>
    <row r="117" spans="1:8" ht="51">
      <c r="A117" s="492" t="s">
        <v>920</v>
      </c>
      <c r="B117" s="427"/>
      <c r="C117" s="191" t="s">
        <v>538</v>
      </c>
      <c r="D117" s="191">
        <v>12</v>
      </c>
      <c r="E117" s="249" t="s">
        <v>922</v>
      </c>
      <c r="F117" s="248"/>
      <c r="G117" s="250">
        <f>G118</f>
        <v>679366</v>
      </c>
      <c r="H117" s="250">
        <f>H118</f>
        <v>0</v>
      </c>
    </row>
    <row r="118" spans="1:8" ht="36">
      <c r="A118" s="427" t="s">
        <v>232</v>
      </c>
      <c r="B118" s="427"/>
      <c r="C118" s="191" t="s">
        <v>538</v>
      </c>
      <c r="D118" s="191">
        <v>12</v>
      </c>
      <c r="E118" s="459" t="s">
        <v>922</v>
      </c>
      <c r="F118" s="172">
        <v>200</v>
      </c>
      <c r="G118" s="247">
        <v>679366</v>
      </c>
      <c r="H118" s="460"/>
    </row>
    <row r="119" spans="1:8" ht="25.5">
      <c r="A119" s="226" t="s">
        <v>543</v>
      </c>
      <c r="B119" s="226"/>
      <c r="C119" s="224" t="s">
        <v>658</v>
      </c>
      <c r="D119" s="271" t="s">
        <v>466</v>
      </c>
      <c r="E119" s="224" t="s">
        <v>89</v>
      </c>
      <c r="F119" s="224" t="s">
        <v>89</v>
      </c>
      <c r="G119" s="223">
        <f>G120+G134</f>
        <v>8283809</v>
      </c>
      <c r="H119" s="223">
        <f>H120+H134</f>
        <v>4843734.84</v>
      </c>
    </row>
    <row r="120" spans="1:8" ht="12.75">
      <c r="A120" s="269" t="s">
        <v>239</v>
      </c>
      <c r="B120" s="269"/>
      <c r="C120" s="268" t="s">
        <v>658</v>
      </c>
      <c r="D120" s="300" t="s">
        <v>535</v>
      </c>
      <c r="E120" s="299"/>
      <c r="F120" s="299"/>
      <c r="G120" s="250">
        <f>G121</f>
        <v>684000</v>
      </c>
      <c r="H120" s="250">
        <f>H121</f>
        <v>642063</v>
      </c>
    </row>
    <row r="121" spans="1:8" ht="89.25">
      <c r="A121" s="266" t="s">
        <v>483</v>
      </c>
      <c r="B121" s="266"/>
      <c r="C121" s="248" t="s">
        <v>658</v>
      </c>
      <c r="D121" s="283" t="s">
        <v>535</v>
      </c>
      <c r="E121" s="249" t="s">
        <v>34</v>
      </c>
      <c r="F121" s="299"/>
      <c r="G121" s="250">
        <f>G122+G130</f>
        <v>684000</v>
      </c>
      <c r="H121" s="250">
        <f>H122+H130</f>
        <v>642063</v>
      </c>
    </row>
    <row r="122" spans="1:8" ht="132" customHeight="1" hidden="1">
      <c r="A122" s="12" t="s">
        <v>219</v>
      </c>
      <c r="B122" s="12"/>
      <c r="C122" s="248" t="s">
        <v>658</v>
      </c>
      <c r="D122" s="283" t="s">
        <v>535</v>
      </c>
      <c r="E122" s="249" t="s">
        <v>220</v>
      </c>
      <c r="F122" s="299"/>
      <c r="G122" s="250">
        <f>G123</f>
        <v>0</v>
      </c>
      <c r="H122" s="250">
        <f>H123</f>
        <v>0</v>
      </c>
    </row>
    <row r="123" spans="1:8" ht="51" hidden="1">
      <c r="A123" s="395" t="s">
        <v>754</v>
      </c>
      <c r="B123" s="395"/>
      <c r="C123" s="248" t="s">
        <v>658</v>
      </c>
      <c r="D123" s="283" t="s">
        <v>535</v>
      </c>
      <c r="E123" s="249" t="s">
        <v>66</v>
      </c>
      <c r="F123" s="299"/>
      <c r="G123" s="250">
        <f>G124+G126+G128</f>
        <v>0</v>
      </c>
      <c r="H123" s="250">
        <f>H128</f>
        <v>0</v>
      </c>
    </row>
    <row r="124" spans="1:8" ht="63.75" hidden="1">
      <c r="A124" s="395" t="s">
        <v>94</v>
      </c>
      <c r="B124" s="395"/>
      <c r="C124" s="248" t="s">
        <v>658</v>
      </c>
      <c r="D124" s="283" t="s">
        <v>535</v>
      </c>
      <c r="E124" s="249" t="s">
        <v>710</v>
      </c>
      <c r="F124" s="299"/>
      <c r="G124" s="250">
        <f>G125</f>
        <v>0</v>
      </c>
      <c r="H124" s="250"/>
    </row>
    <row r="125" spans="1:8" ht="38.25" hidden="1">
      <c r="A125" s="13" t="s">
        <v>225</v>
      </c>
      <c r="B125" s="395"/>
      <c r="C125" s="248" t="s">
        <v>658</v>
      </c>
      <c r="D125" s="283" t="s">
        <v>535</v>
      </c>
      <c r="E125" s="249" t="s">
        <v>710</v>
      </c>
      <c r="F125" s="248">
        <v>400</v>
      </c>
      <c r="G125" s="250"/>
      <c r="H125" s="250"/>
    </row>
    <row r="126" spans="1:8" ht="51" hidden="1">
      <c r="A126" s="395" t="s">
        <v>95</v>
      </c>
      <c r="B126" s="395"/>
      <c r="C126" s="248" t="s">
        <v>658</v>
      </c>
      <c r="D126" s="283" t="s">
        <v>535</v>
      </c>
      <c r="E126" s="249" t="s">
        <v>711</v>
      </c>
      <c r="F126" s="299"/>
      <c r="G126" s="250">
        <f>G127</f>
        <v>0</v>
      </c>
      <c r="H126" s="250"/>
    </row>
    <row r="127" spans="1:8" ht="38.25" hidden="1">
      <c r="A127" s="13" t="s">
        <v>225</v>
      </c>
      <c r="B127" s="395"/>
      <c r="C127" s="248" t="s">
        <v>658</v>
      </c>
      <c r="D127" s="283" t="s">
        <v>535</v>
      </c>
      <c r="E127" s="249" t="s">
        <v>711</v>
      </c>
      <c r="F127" s="248">
        <v>400</v>
      </c>
      <c r="G127" s="250"/>
      <c r="H127" s="250"/>
    </row>
    <row r="128" spans="1:8" ht="114.75" hidden="1">
      <c r="A128" s="396" t="s">
        <v>69</v>
      </c>
      <c r="B128" s="395"/>
      <c r="C128" s="248" t="s">
        <v>658</v>
      </c>
      <c r="D128" s="283" t="s">
        <v>535</v>
      </c>
      <c r="E128" s="249" t="s">
        <v>296</v>
      </c>
      <c r="F128" s="299"/>
      <c r="G128" s="250">
        <f>G129</f>
        <v>0</v>
      </c>
      <c r="H128" s="250">
        <f>H129</f>
        <v>0</v>
      </c>
    </row>
    <row r="129" spans="1:8" ht="38.25" hidden="1">
      <c r="A129" s="13" t="s">
        <v>225</v>
      </c>
      <c r="B129" s="13"/>
      <c r="C129" s="248" t="s">
        <v>658</v>
      </c>
      <c r="D129" s="283" t="s">
        <v>535</v>
      </c>
      <c r="E129" s="249" t="s">
        <v>296</v>
      </c>
      <c r="F129" s="248">
        <v>400</v>
      </c>
      <c r="G129" s="247"/>
      <c r="H129" s="247"/>
    </row>
    <row r="130" spans="1:8" ht="114.75">
      <c r="A130" s="12" t="s">
        <v>484</v>
      </c>
      <c r="B130" s="12"/>
      <c r="C130" s="248" t="s">
        <v>658</v>
      </c>
      <c r="D130" s="283" t="s">
        <v>535</v>
      </c>
      <c r="E130" s="252" t="s">
        <v>561</v>
      </c>
      <c r="F130" s="299"/>
      <c r="G130" s="250">
        <f>G131</f>
        <v>684000</v>
      </c>
      <c r="H130" s="250">
        <f>H131</f>
        <v>642063</v>
      </c>
    </row>
    <row r="131" spans="1:8" ht="38.25">
      <c r="A131" s="28" t="s">
        <v>238</v>
      </c>
      <c r="B131" s="28"/>
      <c r="C131" s="248" t="s">
        <v>658</v>
      </c>
      <c r="D131" s="283" t="s">
        <v>535</v>
      </c>
      <c r="E131" s="249" t="s">
        <v>271</v>
      </c>
      <c r="F131" s="299"/>
      <c r="G131" s="250">
        <f>G132</f>
        <v>684000</v>
      </c>
      <c r="H131" s="250">
        <f>H132</f>
        <v>642063</v>
      </c>
    </row>
    <row r="132" spans="1:8" ht="36">
      <c r="A132" s="30" t="s">
        <v>270</v>
      </c>
      <c r="B132" s="30"/>
      <c r="C132" s="248" t="s">
        <v>658</v>
      </c>
      <c r="D132" s="283" t="s">
        <v>535</v>
      </c>
      <c r="E132" s="249" t="s">
        <v>269</v>
      </c>
      <c r="F132" s="299"/>
      <c r="G132" s="250">
        <f>SUM(G133:G133)</f>
        <v>684000</v>
      </c>
      <c r="H132" s="250">
        <f>SUM(H133:H133)</f>
        <v>642063</v>
      </c>
    </row>
    <row r="133" spans="1:8" ht="38.25">
      <c r="A133" s="13" t="s">
        <v>232</v>
      </c>
      <c r="B133" s="13"/>
      <c r="C133" s="248" t="s">
        <v>658</v>
      </c>
      <c r="D133" s="283" t="s">
        <v>535</v>
      </c>
      <c r="E133" s="249" t="s">
        <v>269</v>
      </c>
      <c r="F133" s="248">
        <v>200</v>
      </c>
      <c r="G133" s="247">
        <v>684000</v>
      </c>
      <c r="H133" s="247">
        <v>642063</v>
      </c>
    </row>
    <row r="134" spans="1:8" ht="12.75">
      <c r="A134" s="269" t="s">
        <v>565</v>
      </c>
      <c r="B134" s="269"/>
      <c r="C134" s="268" t="s">
        <v>658</v>
      </c>
      <c r="D134" s="268" t="s">
        <v>103</v>
      </c>
      <c r="E134" s="268" t="s">
        <v>89</v>
      </c>
      <c r="F134" s="268" t="s">
        <v>89</v>
      </c>
      <c r="G134" s="250">
        <f>G135+G141</f>
        <v>7599809</v>
      </c>
      <c r="H134" s="250">
        <f>H135+H141</f>
        <v>4201671.84</v>
      </c>
    </row>
    <row r="135" spans="1:8" ht="89.25">
      <c r="A135" s="266" t="s">
        <v>483</v>
      </c>
      <c r="B135" s="266"/>
      <c r="C135" s="248" t="s">
        <v>658</v>
      </c>
      <c r="D135" s="248" t="s">
        <v>103</v>
      </c>
      <c r="E135" s="249" t="s">
        <v>34</v>
      </c>
      <c r="F135" s="248" t="s">
        <v>89</v>
      </c>
      <c r="G135" s="250">
        <f aca="true" t="shared" si="12" ref="G135:H137">G136</f>
        <v>7099809</v>
      </c>
      <c r="H135" s="250">
        <f t="shared" si="12"/>
        <v>3701671.84</v>
      </c>
    </row>
    <row r="136" spans="1:8" ht="114.75">
      <c r="A136" s="12" t="s">
        <v>484</v>
      </c>
      <c r="B136" s="12"/>
      <c r="C136" s="248" t="s">
        <v>658</v>
      </c>
      <c r="D136" s="248" t="s">
        <v>103</v>
      </c>
      <c r="E136" s="252" t="s">
        <v>561</v>
      </c>
      <c r="F136" s="251" t="s">
        <v>89</v>
      </c>
      <c r="G136" s="250">
        <f t="shared" si="12"/>
        <v>7099809</v>
      </c>
      <c r="H136" s="250">
        <f t="shared" si="12"/>
        <v>3701671.84</v>
      </c>
    </row>
    <row r="137" spans="1:8" ht="38.25">
      <c r="A137" s="28" t="s">
        <v>357</v>
      </c>
      <c r="B137" s="28"/>
      <c r="C137" s="248" t="s">
        <v>658</v>
      </c>
      <c r="D137" s="248" t="s">
        <v>103</v>
      </c>
      <c r="E137" s="249" t="s">
        <v>458</v>
      </c>
      <c r="F137" s="251"/>
      <c r="G137" s="250">
        <f t="shared" si="12"/>
        <v>7099809</v>
      </c>
      <c r="H137" s="250">
        <f t="shared" si="12"/>
        <v>3701671.84</v>
      </c>
    </row>
    <row r="138" spans="1:8" ht="12.75">
      <c r="A138" s="33" t="s">
        <v>737</v>
      </c>
      <c r="B138" s="33"/>
      <c r="C138" s="248" t="s">
        <v>658</v>
      </c>
      <c r="D138" s="248" t="s">
        <v>103</v>
      </c>
      <c r="E138" s="249" t="s">
        <v>459</v>
      </c>
      <c r="F138" s="248" t="s">
        <v>89</v>
      </c>
      <c r="G138" s="250">
        <f>SUM(G139:G140)</f>
        <v>7099809</v>
      </c>
      <c r="H138" s="250">
        <f>SUM(H139:H140)</f>
        <v>3701671.84</v>
      </c>
    </row>
    <row r="139" spans="1:8" ht="38.25">
      <c r="A139" s="13" t="s">
        <v>232</v>
      </c>
      <c r="B139" s="13"/>
      <c r="C139" s="248" t="s">
        <v>658</v>
      </c>
      <c r="D139" s="248" t="s">
        <v>103</v>
      </c>
      <c r="E139" s="249" t="s">
        <v>459</v>
      </c>
      <c r="F139" s="248">
        <v>200</v>
      </c>
      <c r="G139" s="247">
        <v>2467763</v>
      </c>
      <c r="H139" s="247">
        <v>2316462</v>
      </c>
    </row>
    <row r="140" spans="1:8" ht="12.75">
      <c r="A140" s="13" t="s">
        <v>79</v>
      </c>
      <c r="B140" s="13"/>
      <c r="C140" s="248" t="s">
        <v>658</v>
      </c>
      <c r="D140" s="248" t="s">
        <v>103</v>
      </c>
      <c r="E140" s="249" t="s">
        <v>459</v>
      </c>
      <c r="F140" s="248">
        <v>800</v>
      </c>
      <c r="G140" s="247">
        <v>4632046</v>
      </c>
      <c r="H140" s="247">
        <v>1385209.84</v>
      </c>
    </row>
    <row r="141" spans="1:8" ht="63.75">
      <c r="A141" s="266" t="s">
        <v>479</v>
      </c>
      <c r="B141" s="266"/>
      <c r="C141" s="248" t="s">
        <v>658</v>
      </c>
      <c r="D141" s="248" t="s">
        <v>103</v>
      </c>
      <c r="E141" s="249" t="s">
        <v>643</v>
      </c>
      <c r="F141" s="248"/>
      <c r="G141" s="250">
        <f aca="true" t="shared" si="13" ref="G141:H143">G142</f>
        <v>500000</v>
      </c>
      <c r="H141" s="250">
        <f t="shared" si="13"/>
        <v>500000</v>
      </c>
    </row>
    <row r="142" spans="1:8" ht="28.5" customHeight="1">
      <c r="A142" s="28" t="s">
        <v>714</v>
      </c>
      <c r="B142" s="28"/>
      <c r="C142" s="248" t="s">
        <v>658</v>
      </c>
      <c r="D142" s="248" t="s">
        <v>103</v>
      </c>
      <c r="E142" s="249" t="s">
        <v>340</v>
      </c>
      <c r="F142" s="248"/>
      <c r="G142" s="250">
        <f t="shared" si="13"/>
        <v>500000</v>
      </c>
      <c r="H142" s="250">
        <f t="shared" si="13"/>
        <v>500000</v>
      </c>
    </row>
    <row r="143" spans="1:8" ht="25.5">
      <c r="A143" s="397" t="s">
        <v>342</v>
      </c>
      <c r="B143" s="397"/>
      <c r="C143" s="248" t="s">
        <v>658</v>
      </c>
      <c r="D143" s="248" t="s">
        <v>103</v>
      </c>
      <c r="E143" s="249" t="s">
        <v>341</v>
      </c>
      <c r="F143" s="248"/>
      <c r="G143" s="250">
        <f t="shared" si="13"/>
        <v>500000</v>
      </c>
      <c r="H143" s="250">
        <f t="shared" si="13"/>
        <v>500000</v>
      </c>
    </row>
    <row r="144" spans="1:8" ht="38.25">
      <c r="A144" s="246" t="s">
        <v>232</v>
      </c>
      <c r="B144" s="246"/>
      <c r="C144" s="244" t="s">
        <v>658</v>
      </c>
      <c r="D144" s="244" t="s">
        <v>103</v>
      </c>
      <c r="E144" s="245" t="s">
        <v>341</v>
      </c>
      <c r="F144" s="244">
        <v>200</v>
      </c>
      <c r="G144" s="243">
        <v>500000</v>
      </c>
      <c r="H144" s="243">
        <v>500000</v>
      </c>
    </row>
    <row r="145" spans="1:8" ht="12.75">
      <c r="A145" s="226" t="s">
        <v>566</v>
      </c>
      <c r="B145" s="226"/>
      <c r="C145" s="224" t="s">
        <v>659</v>
      </c>
      <c r="D145" s="271" t="s">
        <v>466</v>
      </c>
      <c r="E145" s="224" t="s">
        <v>89</v>
      </c>
      <c r="F145" s="224" t="s">
        <v>89</v>
      </c>
      <c r="G145" s="223">
        <f>G146+G157+G184+G190+G203</f>
        <v>244546463</v>
      </c>
      <c r="H145" s="223">
        <f>H146+H157+H184+H190+H203</f>
        <v>241087568</v>
      </c>
    </row>
    <row r="146" spans="1:8" ht="12.75">
      <c r="A146" s="269" t="s">
        <v>567</v>
      </c>
      <c r="B146" s="269"/>
      <c r="C146" s="268" t="s">
        <v>659</v>
      </c>
      <c r="D146" s="268" t="s">
        <v>535</v>
      </c>
      <c r="E146" s="268" t="s">
        <v>89</v>
      </c>
      <c r="F146" s="268" t="s">
        <v>89</v>
      </c>
      <c r="G146" s="250">
        <f aca="true" t="shared" si="14" ref="G146:H148">G147</f>
        <v>92601566</v>
      </c>
      <c r="H146" s="250">
        <f t="shared" si="14"/>
        <v>90778726</v>
      </c>
    </row>
    <row r="147" spans="1:8" ht="51">
      <c r="A147" s="266" t="s">
        <v>281</v>
      </c>
      <c r="B147" s="266"/>
      <c r="C147" s="248" t="s">
        <v>659</v>
      </c>
      <c r="D147" s="248" t="s">
        <v>535</v>
      </c>
      <c r="E147" s="249" t="s">
        <v>562</v>
      </c>
      <c r="F147" s="248" t="s">
        <v>89</v>
      </c>
      <c r="G147" s="250">
        <f t="shared" si="14"/>
        <v>92601566</v>
      </c>
      <c r="H147" s="250">
        <f t="shared" si="14"/>
        <v>90778726</v>
      </c>
    </row>
    <row r="148" spans="1:8" ht="63.75">
      <c r="A148" s="12" t="s">
        <v>282</v>
      </c>
      <c r="B148" s="12"/>
      <c r="C148" s="248" t="s">
        <v>659</v>
      </c>
      <c r="D148" s="248" t="s">
        <v>535</v>
      </c>
      <c r="E148" s="252" t="s">
        <v>563</v>
      </c>
      <c r="F148" s="251" t="s">
        <v>89</v>
      </c>
      <c r="G148" s="250">
        <f t="shared" si="14"/>
        <v>92601566</v>
      </c>
      <c r="H148" s="250">
        <f t="shared" si="14"/>
        <v>90778726</v>
      </c>
    </row>
    <row r="149" spans="1:8" ht="38.25">
      <c r="A149" s="28" t="s">
        <v>460</v>
      </c>
      <c r="B149" s="28"/>
      <c r="C149" s="248" t="s">
        <v>659</v>
      </c>
      <c r="D149" s="248" t="s">
        <v>535</v>
      </c>
      <c r="E149" s="249" t="s">
        <v>564</v>
      </c>
      <c r="F149" s="251"/>
      <c r="G149" s="250">
        <f>G150+G153</f>
        <v>92601566</v>
      </c>
      <c r="H149" s="250">
        <f>H150+H153</f>
        <v>90778726</v>
      </c>
    </row>
    <row r="150" spans="1:8" ht="153">
      <c r="A150" s="13" t="s">
        <v>302</v>
      </c>
      <c r="B150" s="13"/>
      <c r="C150" s="248" t="s">
        <v>659</v>
      </c>
      <c r="D150" s="248" t="s">
        <v>535</v>
      </c>
      <c r="E150" s="249" t="s">
        <v>303</v>
      </c>
      <c r="F150" s="248" t="s">
        <v>89</v>
      </c>
      <c r="G150" s="250">
        <f>SUM(G151:G152)</f>
        <v>55488082</v>
      </c>
      <c r="H150" s="250">
        <f>SUM(H151:H152)</f>
        <v>55488082</v>
      </c>
    </row>
    <row r="151" spans="1:8" ht="89.25">
      <c r="A151" s="13" t="s">
        <v>740</v>
      </c>
      <c r="B151" s="13"/>
      <c r="C151" s="248" t="s">
        <v>659</v>
      </c>
      <c r="D151" s="248" t="s">
        <v>535</v>
      </c>
      <c r="E151" s="249" t="s">
        <v>303</v>
      </c>
      <c r="F151" s="248" t="s">
        <v>597</v>
      </c>
      <c r="G151" s="247">
        <v>55063202</v>
      </c>
      <c r="H151" s="247">
        <v>55063202</v>
      </c>
    </row>
    <row r="152" spans="1:8" ht="38.25">
      <c r="A152" s="13" t="s">
        <v>232</v>
      </c>
      <c r="B152" s="13"/>
      <c r="C152" s="248" t="s">
        <v>659</v>
      </c>
      <c r="D152" s="248" t="s">
        <v>535</v>
      </c>
      <c r="E152" s="249" t="s">
        <v>303</v>
      </c>
      <c r="F152" s="248" t="s">
        <v>76</v>
      </c>
      <c r="G152" s="247">
        <v>424880</v>
      </c>
      <c r="H152" s="247">
        <v>424880</v>
      </c>
    </row>
    <row r="153" spans="1:8" ht="38.25">
      <c r="A153" s="251" t="s">
        <v>498</v>
      </c>
      <c r="B153" s="251"/>
      <c r="C153" s="248" t="s">
        <v>659</v>
      </c>
      <c r="D153" s="248" t="s">
        <v>535</v>
      </c>
      <c r="E153" s="249" t="s">
        <v>304</v>
      </c>
      <c r="F153" s="248"/>
      <c r="G153" s="250">
        <f>SUM(G154:G156)</f>
        <v>37113484</v>
      </c>
      <c r="H153" s="250">
        <f>SUM(H154:H156)</f>
        <v>35290644</v>
      </c>
    </row>
    <row r="154" spans="1:8" ht="89.25">
      <c r="A154" s="13" t="s">
        <v>740</v>
      </c>
      <c r="B154" s="13"/>
      <c r="C154" s="248" t="s">
        <v>659</v>
      </c>
      <c r="D154" s="248" t="s">
        <v>535</v>
      </c>
      <c r="E154" s="249" t="s">
        <v>304</v>
      </c>
      <c r="F154" s="248">
        <v>100</v>
      </c>
      <c r="G154" s="247">
        <v>18466929</v>
      </c>
      <c r="H154" s="247">
        <v>17334708</v>
      </c>
    </row>
    <row r="155" spans="1:8" ht="38.25">
      <c r="A155" s="13" t="s">
        <v>232</v>
      </c>
      <c r="B155" s="13"/>
      <c r="C155" s="248" t="s">
        <v>659</v>
      </c>
      <c r="D155" s="248" t="s">
        <v>535</v>
      </c>
      <c r="E155" s="249" t="s">
        <v>304</v>
      </c>
      <c r="F155" s="248">
        <v>200</v>
      </c>
      <c r="G155" s="247">
        <v>16366724</v>
      </c>
      <c r="H155" s="247">
        <v>15815883</v>
      </c>
    </row>
    <row r="156" spans="1:8" ht="12.75">
      <c r="A156" s="13" t="s">
        <v>79</v>
      </c>
      <c r="B156" s="13"/>
      <c r="C156" s="248" t="s">
        <v>659</v>
      </c>
      <c r="D156" s="248" t="s">
        <v>535</v>
      </c>
      <c r="E156" s="249" t="s">
        <v>304</v>
      </c>
      <c r="F156" s="248">
        <v>800</v>
      </c>
      <c r="G156" s="247">
        <v>2279831</v>
      </c>
      <c r="H156" s="247">
        <v>2140053</v>
      </c>
    </row>
    <row r="157" spans="1:8" ht="12.75">
      <c r="A157" s="269" t="s">
        <v>568</v>
      </c>
      <c r="B157" s="269"/>
      <c r="C157" s="268" t="s">
        <v>659</v>
      </c>
      <c r="D157" s="268" t="s">
        <v>537</v>
      </c>
      <c r="E157" s="268" t="s">
        <v>89</v>
      </c>
      <c r="F157" s="268" t="s">
        <v>89</v>
      </c>
      <c r="G157" s="250">
        <f>G158</f>
        <v>124272886</v>
      </c>
      <c r="H157" s="250">
        <f>H158</f>
        <v>124223672</v>
      </c>
    </row>
    <row r="158" spans="1:8" ht="51">
      <c r="A158" s="266" t="s">
        <v>283</v>
      </c>
      <c r="B158" s="266"/>
      <c r="C158" s="248" t="s">
        <v>659</v>
      </c>
      <c r="D158" s="248" t="s">
        <v>537</v>
      </c>
      <c r="E158" s="249" t="s">
        <v>562</v>
      </c>
      <c r="F158" s="248" t="s">
        <v>89</v>
      </c>
      <c r="G158" s="250">
        <f>G159</f>
        <v>124272886</v>
      </c>
      <c r="H158" s="250">
        <f>H159</f>
        <v>124223672</v>
      </c>
    </row>
    <row r="159" spans="1:8" ht="63.75">
      <c r="A159" s="12" t="s">
        <v>282</v>
      </c>
      <c r="B159" s="12"/>
      <c r="C159" s="248" t="s">
        <v>659</v>
      </c>
      <c r="D159" s="248" t="s">
        <v>537</v>
      </c>
      <c r="E159" s="249" t="s">
        <v>563</v>
      </c>
      <c r="F159" s="251" t="s">
        <v>89</v>
      </c>
      <c r="G159" s="250">
        <f>G160+G165+G177+G179+G182</f>
        <v>124272886</v>
      </c>
      <c r="H159" s="250">
        <f>H160+H165+H177+H179</f>
        <v>124223672</v>
      </c>
    </row>
    <row r="160" spans="1:8" ht="38.25">
      <c r="A160" s="28" t="s">
        <v>462</v>
      </c>
      <c r="B160" s="28"/>
      <c r="C160" s="248" t="s">
        <v>659</v>
      </c>
      <c r="D160" s="248" t="s">
        <v>537</v>
      </c>
      <c r="E160" s="249" t="s">
        <v>305</v>
      </c>
      <c r="F160" s="251"/>
      <c r="G160" s="250">
        <f>G161+G163</f>
        <v>108742302</v>
      </c>
      <c r="H160" s="250">
        <f>H161+H163</f>
        <v>107977893</v>
      </c>
    </row>
    <row r="161" spans="1:8" ht="178.5">
      <c r="A161" s="13" t="s">
        <v>686</v>
      </c>
      <c r="B161" s="13"/>
      <c r="C161" s="248" t="s">
        <v>659</v>
      </c>
      <c r="D161" s="248" t="s">
        <v>537</v>
      </c>
      <c r="E161" s="249" t="s">
        <v>306</v>
      </c>
      <c r="F161" s="248" t="s">
        <v>89</v>
      </c>
      <c r="G161" s="250">
        <f>G162</f>
        <v>96274514</v>
      </c>
      <c r="H161" s="250">
        <f>H162</f>
        <v>96274514</v>
      </c>
    </row>
    <row r="162" spans="1:8" ht="51">
      <c r="A162" s="13" t="s">
        <v>92</v>
      </c>
      <c r="B162" s="13"/>
      <c r="C162" s="248" t="s">
        <v>659</v>
      </c>
      <c r="D162" s="248" t="s">
        <v>537</v>
      </c>
      <c r="E162" s="249" t="s">
        <v>306</v>
      </c>
      <c r="F162" s="248">
        <v>600</v>
      </c>
      <c r="G162" s="247">
        <v>96274514</v>
      </c>
      <c r="H162" s="247">
        <v>96274514</v>
      </c>
    </row>
    <row r="163" spans="1:8" ht="38.25">
      <c r="A163" s="251" t="s">
        <v>498</v>
      </c>
      <c r="B163" s="251"/>
      <c r="C163" s="248" t="s">
        <v>659</v>
      </c>
      <c r="D163" s="248" t="s">
        <v>537</v>
      </c>
      <c r="E163" s="249" t="s">
        <v>307</v>
      </c>
      <c r="F163" s="248"/>
      <c r="G163" s="250">
        <f>G164</f>
        <v>12467788</v>
      </c>
      <c r="H163" s="250">
        <f>H164</f>
        <v>11703379</v>
      </c>
    </row>
    <row r="164" spans="1:8" ht="51">
      <c r="A164" s="13" t="s">
        <v>92</v>
      </c>
      <c r="B164" s="13"/>
      <c r="C164" s="248" t="s">
        <v>659</v>
      </c>
      <c r="D164" s="248" t="s">
        <v>537</v>
      </c>
      <c r="E164" s="249" t="s">
        <v>307</v>
      </c>
      <c r="F164" s="248">
        <v>600</v>
      </c>
      <c r="G164" s="247">
        <v>12467788</v>
      </c>
      <c r="H164" s="247">
        <v>11703379</v>
      </c>
    </row>
    <row r="165" spans="1:8" ht="25.5">
      <c r="A165" s="28" t="s">
        <v>463</v>
      </c>
      <c r="B165" s="28"/>
      <c r="C165" s="248" t="s">
        <v>659</v>
      </c>
      <c r="D165" s="248" t="s">
        <v>537</v>
      </c>
      <c r="E165" s="249" t="s">
        <v>308</v>
      </c>
      <c r="F165" s="248"/>
      <c r="G165" s="247">
        <f>G166+G168+G170+G174+G172</f>
        <v>15530584</v>
      </c>
      <c r="H165" s="247">
        <f>H166+H168+H170+H174+H172</f>
        <v>16245779</v>
      </c>
    </row>
    <row r="166" spans="1:8" ht="76.5">
      <c r="A166" s="28" t="s">
        <v>400</v>
      </c>
      <c r="B166" s="74"/>
      <c r="C166" s="248" t="s">
        <v>659</v>
      </c>
      <c r="D166" s="248" t="s">
        <v>537</v>
      </c>
      <c r="E166" s="249" t="s">
        <v>401</v>
      </c>
      <c r="F166" s="248"/>
      <c r="G166" s="250">
        <f>G167</f>
        <v>6093224</v>
      </c>
      <c r="H166" s="250">
        <f>H167</f>
        <v>6274579</v>
      </c>
    </row>
    <row r="167" spans="1:8" ht="51">
      <c r="A167" s="13" t="s">
        <v>92</v>
      </c>
      <c r="B167" s="13"/>
      <c r="C167" s="248" t="s">
        <v>659</v>
      </c>
      <c r="D167" s="248" t="s">
        <v>537</v>
      </c>
      <c r="E167" s="249" t="s">
        <v>401</v>
      </c>
      <c r="F167" s="248">
        <v>600</v>
      </c>
      <c r="G167" s="247">
        <v>6093224</v>
      </c>
      <c r="H167" s="247">
        <v>6274579</v>
      </c>
    </row>
    <row r="168" spans="1:8" ht="102">
      <c r="A168" s="396" t="s">
        <v>751</v>
      </c>
      <c r="B168" s="396"/>
      <c r="C168" s="248" t="s">
        <v>659</v>
      </c>
      <c r="D168" s="248" t="s">
        <v>537</v>
      </c>
      <c r="E168" s="249" t="s">
        <v>752</v>
      </c>
      <c r="F168" s="248"/>
      <c r="G168" s="247">
        <f>G169</f>
        <v>318065</v>
      </c>
      <c r="H168" s="247">
        <f>H169</f>
        <v>318065</v>
      </c>
    </row>
    <row r="169" spans="1:8" ht="51">
      <c r="A169" s="13" t="s">
        <v>92</v>
      </c>
      <c r="B169" s="13"/>
      <c r="C169" s="248" t="s">
        <v>659</v>
      </c>
      <c r="D169" s="248" t="s">
        <v>537</v>
      </c>
      <c r="E169" s="249" t="s">
        <v>752</v>
      </c>
      <c r="F169" s="248">
        <v>600</v>
      </c>
      <c r="G169" s="247">
        <v>318065</v>
      </c>
      <c r="H169" s="247">
        <v>318065</v>
      </c>
    </row>
    <row r="170" spans="1:8" ht="89.25">
      <c r="A170" s="74" t="s">
        <v>299</v>
      </c>
      <c r="B170" s="74"/>
      <c r="C170" s="248" t="s">
        <v>659</v>
      </c>
      <c r="D170" s="248" t="s">
        <v>537</v>
      </c>
      <c r="E170" s="249" t="s">
        <v>309</v>
      </c>
      <c r="F170" s="248"/>
      <c r="G170" s="250">
        <f>G171</f>
        <v>2127215</v>
      </c>
      <c r="H170" s="250">
        <f>H171</f>
        <v>2127215</v>
      </c>
    </row>
    <row r="171" spans="1:8" ht="51">
      <c r="A171" s="13" t="s">
        <v>92</v>
      </c>
      <c r="B171" s="13"/>
      <c r="C171" s="248" t="s">
        <v>659</v>
      </c>
      <c r="D171" s="248" t="s">
        <v>537</v>
      </c>
      <c r="E171" s="249" t="s">
        <v>309</v>
      </c>
      <c r="F171" s="248">
        <v>600</v>
      </c>
      <c r="G171" s="247">
        <v>2127215</v>
      </c>
      <c r="H171" s="247">
        <v>2127215</v>
      </c>
    </row>
    <row r="172" spans="1:8" ht="38.25">
      <c r="A172" s="193" t="s">
        <v>498</v>
      </c>
      <c r="B172" s="13"/>
      <c r="C172" s="191" t="s">
        <v>659</v>
      </c>
      <c r="D172" s="191" t="s">
        <v>537</v>
      </c>
      <c r="E172" s="192" t="s">
        <v>399</v>
      </c>
      <c r="F172" s="191"/>
      <c r="G172" s="247">
        <f>G173</f>
        <v>430000</v>
      </c>
      <c r="H172" s="247">
        <f>H173</f>
        <v>963840</v>
      </c>
    </row>
    <row r="173" spans="1:8" ht="51">
      <c r="A173" s="203" t="s">
        <v>92</v>
      </c>
      <c r="B173" s="13"/>
      <c r="C173" s="191" t="s">
        <v>659</v>
      </c>
      <c r="D173" s="191" t="s">
        <v>537</v>
      </c>
      <c r="E173" s="192" t="s">
        <v>399</v>
      </c>
      <c r="F173" s="191">
        <v>600</v>
      </c>
      <c r="G173" s="247">
        <v>430000</v>
      </c>
      <c r="H173" s="247">
        <v>963840</v>
      </c>
    </row>
    <row r="174" spans="1:8" ht="63.75">
      <c r="A174" s="13" t="s">
        <v>513</v>
      </c>
      <c r="B174" s="13"/>
      <c r="C174" s="248" t="s">
        <v>659</v>
      </c>
      <c r="D174" s="248" t="s">
        <v>537</v>
      </c>
      <c r="E174" s="249" t="s">
        <v>514</v>
      </c>
      <c r="F174" s="248"/>
      <c r="G174" s="247">
        <f>G175</f>
        <v>6562080</v>
      </c>
      <c r="H174" s="247">
        <f>H175</f>
        <v>6562080</v>
      </c>
    </row>
    <row r="175" spans="1:8" ht="51">
      <c r="A175" s="13" t="s">
        <v>92</v>
      </c>
      <c r="B175" s="13"/>
      <c r="C175" s="248" t="s">
        <v>659</v>
      </c>
      <c r="D175" s="248" t="s">
        <v>537</v>
      </c>
      <c r="E175" s="249" t="s">
        <v>514</v>
      </c>
      <c r="F175" s="248">
        <v>600</v>
      </c>
      <c r="G175" s="247">
        <v>6562080</v>
      </c>
      <c r="H175" s="247">
        <v>6562080</v>
      </c>
    </row>
    <row r="176" spans="1:8" ht="25.5" hidden="1">
      <c r="A176" s="395" t="s">
        <v>755</v>
      </c>
      <c r="B176" s="13"/>
      <c r="C176" s="248" t="s">
        <v>659</v>
      </c>
      <c r="D176" s="248" t="s">
        <v>537</v>
      </c>
      <c r="E176" s="249" t="s">
        <v>335</v>
      </c>
      <c r="F176" s="248"/>
      <c r="G176" s="250">
        <f>G177</f>
        <v>0</v>
      </c>
      <c r="H176" s="250">
        <f>H177</f>
        <v>0</v>
      </c>
    </row>
    <row r="177" spans="1:8" ht="89.25" hidden="1">
      <c r="A177" s="395" t="s">
        <v>156</v>
      </c>
      <c r="B177" s="13"/>
      <c r="C177" s="248" t="s">
        <v>659</v>
      </c>
      <c r="D177" s="248" t="s">
        <v>537</v>
      </c>
      <c r="E177" s="249" t="s">
        <v>336</v>
      </c>
      <c r="F177" s="248"/>
      <c r="G177" s="250">
        <f>G178</f>
        <v>0</v>
      </c>
      <c r="H177" s="250">
        <f>H178</f>
        <v>0</v>
      </c>
    </row>
    <row r="178" spans="1:8" ht="51" hidden="1">
      <c r="A178" s="13" t="s">
        <v>92</v>
      </c>
      <c r="B178" s="13"/>
      <c r="C178" s="248" t="s">
        <v>659</v>
      </c>
      <c r="D178" s="248" t="s">
        <v>537</v>
      </c>
      <c r="E178" s="249" t="s">
        <v>336</v>
      </c>
      <c r="F178" s="248">
        <v>600</v>
      </c>
      <c r="G178" s="247"/>
      <c r="H178" s="247"/>
    </row>
    <row r="179" spans="1:8" ht="25.5" hidden="1">
      <c r="A179" s="395" t="s">
        <v>110</v>
      </c>
      <c r="B179" s="395"/>
      <c r="C179" s="248" t="s">
        <v>659</v>
      </c>
      <c r="D179" s="248" t="s">
        <v>537</v>
      </c>
      <c r="E179" s="249" t="s">
        <v>64</v>
      </c>
      <c r="F179" s="248"/>
      <c r="G179" s="250">
        <f>G180</f>
        <v>0</v>
      </c>
      <c r="H179" s="250">
        <f>H180</f>
        <v>0</v>
      </c>
    </row>
    <row r="180" spans="1:8" ht="51" hidden="1">
      <c r="A180" s="395" t="s">
        <v>157</v>
      </c>
      <c r="B180" s="395"/>
      <c r="C180" s="248" t="s">
        <v>659</v>
      </c>
      <c r="D180" s="248" t="s">
        <v>537</v>
      </c>
      <c r="E180" s="249" t="s">
        <v>65</v>
      </c>
      <c r="F180" s="248"/>
      <c r="G180" s="250">
        <f>G181</f>
        <v>0</v>
      </c>
      <c r="H180" s="250">
        <f>H181</f>
        <v>0</v>
      </c>
    </row>
    <row r="181" spans="1:8" ht="51" hidden="1">
      <c r="A181" s="13" t="s">
        <v>92</v>
      </c>
      <c r="B181" s="13"/>
      <c r="C181" s="248" t="s">
        <v>659</v>
      </c>
      <c r="D181" s="248" t="s">
        <v>537</v>
      </c>
      <c r="E181" s="249" t="s">
        <v>65</v>
      </c>
      <c r="F181" s="248">
        <v>600</v>
      </c>
      <c r="G181" s="247"/>
      <c r="H181" s="247"/>
    </row>
    <row r="182" spans="1:8" ht="76.5" hidden="1">
      <c r="A182" s="395" t="s">
        <v>63</v>
      </c>
      <c r="B182" s="13"/>
      <c r="C182" s="248" t="s">
        <v>659</v>
      </c>
      <c r="D182" s="248" t="s">
        <v>537</v>
      </c>
      <c r="E182" s="249" t="s">
        <v>358</v>
      </c>
      <c r="F182" s="248"/>
      <c r="G182" s="247">
        <f>G183</f>
        <v>0</v>
      </c>
      <c r="H182" s="247"/>
    </row>
    <row r="183" spans="1:8" ht="51" hidden="1">
      <c r="A183" s="13" t="s">
        <v>92</v>
      </c>
      <c r="B183" s="13"/>
      <c r="C183" s="248" t="s">
        <v>659</v>
      </c>
      <c r="D183" s="248" t="s">
        <v>537</v>
      </c>
      <c r="E183" s="249" t="s">
        <v>358</v>
      </c>
      <c r="F183" s="248">
        <v>600</v>
      </c>
      <c r="G183" s="247"/>
      <c r="H183" s="247"/>
    </row>
    <row r="184" spans="1:8" ht="25.5">
      <c r="A184" s="12" t="s">
        <v>43</v>
      </c>
      <c r="B184" s="12"/>
      <c r="C184" s="248" t="s">
        <v>659</v>
      </c>
      <c r="D184" s="283" t="s">
        <v>103</v>
      </c>
      <c r="E184" s="249"/>
      <c r="F184" s="248"/>
      <c r="G184" s="250">
        <f aca="true" t="shared" si="15" ref="G184:H188">G185</f>
        <v>17773514</v>
      </c>
      <c r="H184" s="250">
        <f t="shared" si="15"/>
        <v>16683807</v>
      </c>
    </row>
    <row r="185" spans="1:8" ht="51">
      <c r="A185" s="266" t="s">
        <v>281</v>
      </c>
      <c r="B185" s="266"/>
      <c r="C185" s="248" t="s">
        <v>659</v>
      </c>
      <c r="D185" s="283" t="s">
        <v>103</v>
      </c>
      <c r="E185" s="249" t="s">
        <v>562</v>
      </c>
      <c r="F185" s="248"/>
      <c r="G185" s="250">
        <f t="shared" si="15"/>
        <v>17773514</v>
      </c>
      <c r="H185" s="250">
        <f t="shared" si="15"/>
        <v>16683807</v>
      </c>
    </row>
    <row r="186" spans="1:8" ht="76.5">
      <c r="A186" s="12" t="s">
        <v>712</v>
      </c>
      <c r="B186" s="12"/>
      <c r="C186" s="248" t="s">
        <v>659</v>
      </c>
      <c r="D186" s="283" t="s">
        <v>103</v>
      </c>
      <c r="E186" s="252" t="s">
        <v>310</v>
      </c>
      <c r="F186" s="251" t="s">
        <v>89</v>
      </c>
      <c r="G186" s="250">
        <f t="shared" si="15"/>
        <v>17773514</v>
      </c>
      <c r="H186" s="250">
        <f t="shared" si="15"/>
        <v>16683807</v>
      </c>
    </row>
    <row r="187" spans="1:8" ht="51">
      <c r="A187" s="28" t="s">
        <v>464</v>
      </c>
      <c r="B187" s="28"/>
      <c r="C187" s="248" t="s">
        <v>659</v>
      </c>
      <c r="D187" s="283" t="s">
        <v>103</v>
      </c>
      <c r="E187" s="249" t="s">
        <v>311</v>
      </c>
      <c r="F187" s="251"/>
      <c r="G187" s="250">
        <f t="shared" si="15"/>
        <v>17773514</v>
      </c>
      <c r="H187" s="250">
        <f t="shared" si="15"/>
        <v>16683807</v>
      </c>
    </row>
    <row r="188" spans="1:8" ht="38.25">
      <c r="A188" s="251" t="s">
        <v>498</v>
      </c>
      <c r="B188" s="251"/>
      <c r="C188" s="248" t="s">
        <v>659</v>
      </c>
      <c r="D188" s="283" t="s">
        <v>103</v>
      </c>
      <c r="E188" s="249" t="s">
        <v>312</v>
      </c>
      <c r="F188" s="248" t="s">
        <v>89</v>
      </c>
      <c r="G188" s="250">
        <f t="shared" si="15"/>
        <v>17773514</v>
      </c>
      <c r="H188" s="250">
        <f t="shared" si="15"/>
        <v>16683807</v>
      </c>
    </row>
    <row r="189" spans="1:8" ht="51">
      <c r="A189" s="13" t="s">
        <v>92</v>
      </c>
      <c r="B189" s="13"/>
      <c r="C189" s="248" t="s">
        <v>659</v>
      </c>
      <c r="D189" s="283" t="s">
        <v>103</v>
      </c>
      <c r="E189" s="249" t="s">
        <v>312</v>
      </c>
      <c r="F189" s="248">
        <v>600</v>
      </c>
      <c r="G189" s="247">
        <v>17773514</v>
      </c>
      <c r="H189" s="247">
        <v>16683807</v>
      </c>
    </row>
    <row r="190" spans="1:8" ht="12.75">
      <c r="A190" s="269" t="s">
        <v>44</v>
      </c>
      <c r="B190" s="269"/>
      <c r="C190" s="268" t="s">
        <v>659</v>
      </c>
      <c r="D190" s="268" t="s">
        <v>659</v>
      </c>
      <c r="E190" s="268" t="s">
        <v>89</v>
      </c>
      <c r="F190" s="268" t="s">
        <v>89</v>
      </c>
      <c r="G190" s="250">
        <f>G191</f>
        <v>1611036</v>
      </c>
      <c r="H190" s="250">
        <f>H191</f>
        <v>1607541</v>
      </c>
    </row>
    <row r="191" spans="1:8" ht="89.25">
      <c r="A191" s="266" t="s">
        <v>442</v>
      </c>
      <c r="B191" s="266"/>
      <c r="C191" s="248" t="s">
        <v>659</v>
      </c>
      <c r="D191" s="248" t="s">
        <v>659</v>
      </c>
      <c r="E191" s="249" t="s">
        <v>441</v>
      </c>
      <c r="F191" s="248" t="s">
        <v>89</v>
      </c>
      <c r="G191" s="250">
        <f>G192</f>
        <v>1611036</v>
      </c>
      <c r="H191" s="250">
        <f>H192</f>
        <v>1607541</v>
      </c>
    </row>
    <row r="192" spans="1:8" ht="127.5">
      <c r="A192" s="12" t="s">
        <v>356</v>
      </c>
      <c r="B192" s="12"/>
      <c r="C192" s="248" t="s">
        <v>659</v>
      </c>
      <c r="D192" s="248" t="s">
        <v>659</v>
      </c>
      <c r="E192" s="252" t="s">
        <v>492</v>
      </c>
      <c r="F192" s="251" t="s">
        <v>89</v>
      </c>
      <c r="G192" s="250">
        <f>G193+G200</f>
        <v>1611036</v>
      </c>
      <c r="H192" s="250">
        <f>H193+H200</f>
        <v>1607541</v>
      </c>
    </row>
    <row r="193" spans="1:8" ht="38.25">
      <c r="A193" s="33" t="s">
        <v>491</v>
      </c>
      <c r="B193" s="33"/>
      <c r="C193" s="248" t="s">
        <v>659</v>
      </c>
      <c r="D193" s="248" t="s">
        <v>659</v>
      </c>
      <c r="E193" s="249" t="s">
        <v>490</v>
      </c>
      <c r="F193" s="251"/>
      <c r="G193" s="250">
        <f>G194+G197</f>
        <v>1561036</v>
      </c>
      <c r="H193" s="250">
        <f>H194+H197</f>
        <v>1560607</v>
      </c>
    </row>
    <row r="194" spans="1:8" ht="25.5">
      <c r="A194" s="33" t="s">
        <v>489</v>
      </c>
      <c r="B194" s="33"/>
      <c r="C194" s="248" t="s">
        <v>659</v>
      </c>
      <c r="D194" s="248" t="s">
        <v>659</v>
      </c>
      <c r="E194" s="249" t="s">
        <v>488</v>
      </c>
      <c r="F194" s="251"/>
      <c r="G194" s="250">
        <f>SUM(G195:G196)</f>
        <v>7000</v>
      </c>
      <c r="H194" s="250">
        <f>SUM(H195:H196)</f>
        <v>6571</v>
      </c>
    </row>
    <row r="195" spans="1:8" ht="38.25" hidden="1">
      <c r="A195" s="13" t="s">
        <v>232</v>
      </c>
      <c r="B195" s="13"/>
      <c r="C195" s="248" t="s">
        <v>659</v>
      </c>
      <c r="D195" s="248" t="s">
        <v>659</v>
      </c>
      <c r="E195" s="249" t="s">
        <v>488</v>
      </c>
      <c r="F195" s="251">
        <v>200</v>
      </c>
      <c r="G195" s="247"/>
      <c r="H195" s="247"/>
    </row>
    <row r="196" spans="1:8" ht="51">
      <c r="A196" s="13" t="s">
        <v>92</v>
      </c>
      <c r="B196" s="13"/>
      <c r="C196" s="248" t="s">
        <v>659</v>
      </c>
      <c r="D196" s="248" t="s">
        <v>659</v>
      </c>
      <c r="E196" s="249" t="s">
        <v>488</v>
      </c>
      <c r="F196" s="251">
        <v>600</v>
      </c>
      <c r="G196" s="247">
        <v>7000</v>
      </c>
      <c r="H196" s="247">
        <v>6571</v>
      </c>
    </row>
    <row r="197" spans="1:8" ht="38.25">
      <c r="A197" s="74" t="s">
        <v>499</v>
      </c>
      <c r="B197" s="74"/>
      <c r="C197" s="248" t="s">
        <v>659</v>
      </c>
      <c r="D197" s="248" t="s">
        <v>659</v>
      </c>
      <c r="E197" s="249" t="s">
        <v>285</v>
      </c>
      <c r="F197" s="251"/>
      <c r="G197" s="250">
        <f>SUM(G198:G199)</f>
        <v>1554036</v>
      </c>
      <c r="H197" s="250">
        <f>SUM(H198:H199)</f>
        <v>1554036</v>
      </c>
    </row>
    <row r="198" spans="1:8" ht="25.5">
      <c r="A198" s="13" t="s">
        <v>83</v>
      </c>
      <c r="B198" s="13"/>
      <c r="C198" s="248" t="s">
        <v>659</v>
      </c>
      <c r="D198" s="248" t="s">
        <v>659</v>
      </c>
      <c r="E198" s="249" t="s">
        <v>285</v>
      </c>
      <c r="F198" s="251">
        <v>300</v>
      </c>
      <c r="G198" s="247">
        <v>691391</v>
      </c>
      <c r="H198" s="247">
        <v>691391</v>
      </c>
    </row>
    <row r="199" spans="1:8" ht="51">
      <c r="A199" s="13" t="s">
        <v>92</v>
      </c>
      <c r="B199" s="13"/>
      <c r="C199" s="248" t="s">
        <v>659</v>
      </c>
      <c r="D199" s="248" t="s">
        <v>659</v>
      </c>
      <c r="E199" s="249" t="s">
        <v>285</v>
      </c>
      <c r="F199" s="251">
        <v>600</v>
      </c>
      <c r="G199" s="247">
        <v>862645</v>
      </c>
      <c r="H199" s="247">
        <v>862645</v>
      </c>
    </row>
    <row r="200" spans="1:8" ht="63.75">
      <c r="A200" s="33" t="s">
        <v>757</v>
      </c>
      <c r="B200" s="33"/>
      <c r="C200" s="248" t="s">
        <v>659</v>
      </c>
      <c r="D200" s="248" t="s">
        <v>659</v>
      </c>
      <c r="E200" s="249" t="s">
        <v>758</v>
      </c>
      <c r="F200" s="251"/>
      <c r="G200" s="250">
        <f>G201</f>
        <v>50000</v>
      </c>
      <c r="H200" s="250">
        <f>H201</f>
        <v>46934</v>
      </c>
    </row>
    <row r="201" spans="1:8" ht="25.5">
      <c r="A201" s="33" t="s">
        <v>760</v>
      </c>
      <c r="B201" s="33"/>
      <c r="C201" s="248" t="s">
        <v>659</v>
      </c>
      <c r="D201" s="248" t="s">
        <v>659</v>
      </c>
      <c r="E201" s="249" t="s">
        <v>759</v>
      </c>
      <c r="F201" s="251"/>
      <c r="G201" s="250">
        <f>G202</f>
        <v>50000</v>
      </c>
      <c r="H201" s="250">
        <f>H202</f>
        <v>46934</v>
      </c>
    </row>
    <row r="202" spans="1:8" ht="38.25">
      <c r="A202" s="13" t="s">
        <v>232</v>
      </c>
      <c r="B202" s="13"/>
      <c r="C202" s="248" t="s">
        <v>659</v>
      </c>
      <c r="D202" s="248" t="s">
        <v>659</v>
      </c>
      <c r="E202" s="249" t="s">
        <v>759</v>
      </c>
      <c r="F202" s="251">
        <v>200</v>
      </c>
      <c r="G202" s="247">
        <v>50000</v>
      </c>
      <c r="H202" s="247">
        <v>46934</v>
      </c>
    </row>
    <row r="203" spans="1:8" ht="25.5">
      <c r="A203" s="269" t="s">
        <v>569</v>
      </c>
      <c r="B203" s="269"/>
      <c r="C203" s="268" t="s">
        <v>659</v>
      </c>
      <c r="D203" s="268" t="s">
        <v>104</v>
      </c>
      <c r="E203" s="268" t="s">
        <v>89</v>
      </c>
      <c r="F203" s="268" t="s">
        <v>89</v>
      </c>
      <c r="G203" s="250">
        <f>G204</f>
        <v>8287461</v>
      </c>
      <c r="H203" s="250">
        <f>H204</f>
        <v>7793822</v>
      </c>
    </row>
    <row r="204" spans="1:8" ht="51">
      <c r="A204" s="266" t="s">
        <v>283</v>
      </c>
      <c r="B204" s="266"/>
      <c r="C204" s="248" t="s">
        <v>659</v>
      </c>
      <c r="D204" s="248" t="s">
        <v>104</v>
      </c>
      <c r="E204" s="249" t="s">
        <v>562</v>
      </c>
      <c r="F204" s="248" t="s">
        <v>89</v>
      </c>
      <c r="G204" s="250">
        <f>G205</f>
        <v>8287461</v>
      </c>
      <c r="H204" s="250">
        <f>H205</f>
        <v>7793822</v>
      </c>
    </row>
    <row r="205" spans="1:8" ht="76.5">
      <c r="A205" s="12" t="s">
        <v>713</v>
      </c>
      <c r="B205" s="12"/>
      <c r="C205" s="248" t="s">
        <v>659</v>
      </c>
      <c r="D205" s="248" t="s">
        <v>104</v>
      </c>
      <c r="E205" s="249" t="s">
        <v>313</v>
      </c>
      <c r="F205" s="251" t="s">
        <v>89</v>
      </c>
      <c r="G205" s="250">
        <f>G206+G209</f>
        <v>8287461</v>
      </c>
      <c r="H205" s="250">
        <f>H206+H209</f>
        <v>7793822</v>
      </c>
    </row>
    <row r="206" spans="1:8" ht="76.5">
      <c r="A206" s="28" t="s">
        <v>465</v>
      </c>
      <c r="B206" s="28"/>
      <c r="C206" s="248" t="s">
        <v>659</v>
      </c>
      <c r="D206" s="248" t="s">
        <v>104</v>
      </c>
      <c r="E206" s="249" t="s">
        <v>314</v>
      </c>
      <c r="F206" s="251"/>
      <c r="G206" s="250">
        <f>G207</f>
        <v>236023</v>
      </c>
      <c r="H206" s="250">
        <f>H207</f>
        <v>236023</v>
      </c>
    </row>
    <row r="207" spans="1:8" ht="63.75">
      <c r="A207" s="13" t="s">
        <v>601</v>
      </c>
      <c r="B207" s="13"/>
      <c r="C207" s="248" t="s">
        <v>659</v>
      </c>
      <c r="D207" s="248" t="s">
        <v>104</v>
      </c>
      <c r="E207" s="249" t="s">
        <v>315</v>
      </c>
      <c r="F207" s="248"/>
      <c r="G207" s="250">
        <f>G208</f>
        <v>236023</v>
      </c>
      <c r="H207" s="250">
        <f>H208</f>
        <v>236023</v>
      </c>
    </row>
    <row r="208" spans="1:8" ht="89.25">
      <c r="A208" s="13" t="s">
        <v>740</v>
      </c>
      <c r="B208" s="13"/>
      <c r="C208" s="248" t="s">
        <v>659</v>
      </c>
      <c r="D208" s="248" t="s">
        <v>104</v>
      </c>
      <c r="E208" s="249" t="s">
        <v>315</v>
      </c>
      <c r="F208" s="248">
        <v>100</v>
      </c>
      <c r="G208" s="247">
        <v>236023</v>
      </c>
      <c r="H208" s="247">
        <v>236023</v>
      </c>
    </row>
    <row r="209" spans="1:8" ht="63.75">
      <c r="A209" s="33" t="s">
        <v>330</v>
      </c>
      <c r="B209" s="33"/>
      <c r="C209" s="248" t="s">
        <v>659</v>
      </c>
      <c r="D209" s="248" t="s">
        <v>104</v>
      </c>
      <c r="E209" s="249" t="s">
        <v>317</v>
      </c>
      <c r="F209" s="248"/>
      <c r="G209" s="250">
        <f>G210</f>
        <v>8051438</v>
      </c>
      <c r="H209" s="250">
        <f>H210</f>
        <v>7557799</v>
      </c>
    </row>
    <row r="210" spans="1:8" ht="38.25">
      <c r="A210" s="251" t="s">
        <v>498</v>
      </c>
      <c r="B210" s="251"/>
      <c r="C210" s="248" t="s">
        <v>659</v>
      </c>
      <c r="D210" s="248" t="s">
        <v>104</v>
      </c>
      <c r="E210" s="249" t="s">
        <v>318</v>
      </c>
      <c r="F210" s="248" t="s">
        <v>89</v>
      </c>
      <c r="G210" s="250">
        <f>SUM(G211:G213)</f>
        <v>8051438</v>
      </c>
      <c r="H210" s="250">
        <f>SUM(H211:H213)</f>
        <v>7557799</v>
      </c>
    </row>
    <row r="211" spans="1:8" ht="89.25">
      <c r="A211" s="13" t="s">
        <v>740</v>
      </c>
      <c r="B211" s="13"/>
      <c r="C211" s="248" t="s">
        <v>659</v>
      </c>
      <c r="D211" s="248" t="s">
        <v>104</v>
      </c>
      <c r="E211" s="249" t="s">
        <v>318</v>
      </c>
      <c r="F211" s="248" t="s">
        <v>597</v>
      </c>
      <c r="G211" s="247">
        <v>7641344</v>
      </c>
      <c r="H211" s="247">
        <v>7172848</v>
      </c>
    </row>
    <row r="212" spans="1:8" ht="38.25">
      <c r="A212" s="13" t="s">
        <v>232</v>
      </c>
      <c r="B212" s="13"/>
      <c r="C212" s="248" t="s">
        <v>659</v>
      </c>
      <c r="D212" s="248" t="s">
        <v>104</v>
      </c>
      <c r="E212" s="249" t="s">
        <v>318</v>
      </c>
      <c r="F212" s="248" t="s">
        <v>76</v>
      </c>
      <c r="G212" s="247">
        <v>404804</v>
      </c>
      <c r="H212" s="247">
        <v>379985</v>
      </c>
    </row>
    <row r="213" spans="1:8" ht="12.75">
      <c r="A213" s="246" t="s">
        <v>79</v>
      </c>
      <c r="B213" s="246"/>
      <c r="C213" s="244" t="s">
        <v>659</v>
      </c>
      <c r="D213" s="244" t="s">
        <v>104</v>
      </c>
      <c r="E213" s="245" t="s">
        <v>318</v>
      </c>
      <c r="F213" s="244">
        <v>800</v>
      </c>
      <c r="G213" s="243">
        <v>5290</v>
      </c>
      <c r="H213" s="243">
        <v>4966</v>
      </c>
    </row>
    <row r="214" spans="1:8" ht="12.75">
      <c r="A214" s="226" t="s">
        <v>727</v>
      </c>
      <c r="B214" s="226"/>
      <c r="C214" s="224" t="s">
        <v>558</v>
      </c>
      <c r="D214" s="271" t="s">
        <v>466</v>
      </c>
      <c r="E214" s="224" t="s">
        <v>89</v>
      </c>
      <c r="F214" s="224" t="s">
        <v>89</v>
      </c>
      <c r="G214" s="223">
        <f>G215</f>
        <v>28550829</v>
      </c>
      <c r="H214" s="223">
        <f>H215</f>
        <v>26809744</v>
      </c>
    </row>
    <row r="215" spans="1:8" ht="12.75">
      <c r="A215" s="269" t="s">
        <v>570</v>
      </c>
      <c r="B215" s="269"/>
      <c r="C215" s="268" t="s">
        <v>558</v>
      </c>
      <c r="D215" s="268" t="s">
        <v>535</v>
      </c>
      <c r="E215" s="268" t="s">
        <v>89</v>
      </c>
      <c r="F215" s="268" t="s">
        <v>89</v>
      </c>
      <c r="G215" s="250">
        <f>G216</f>
        <v>28550829</v>
      </c>
      <c r="H215" s="250">
        <f>H216</f>
        <v>26809744</v>
      </c>
    </row>
    <row r="216" spans="1:8" ht="38.25">
      <c r="A216" s="266" t="s">
        <v>15</v>
      </c>
      <c r="B216" s="266"/>
      <c r="C216" s="248" t="s">
        <v>558</v>
      </c>
      <c r="D216" s="248" t="s">
        <v>535</v>
      </c>
      <c r="E216" s="249" t="s">
        <v>319</v>
      </c>
      <c r="F216" s="248" t="s">
        <v>89</v>
      </c>
      <c r="G216" s="250">
        <f>G217+G223</f>
        <v>28550829</v>
      </c>
      <c r="H216" s="250">
        <f>H217+H223</f>
        <v>26809744</v>
      </c>
    </row>
    <row r="217" spans="1:8" ht="51">
      <c r="A217" s="12" t="s">
        <v>591</v>
      </c>
      <c r="B217" s="12"/>
      <c r="C217" s="248" t="s">
        <v>558</v>
      </c>
      <c r="D217" s="248" t="s">
        <v>535</v>
      </c>
      <c r="E217" s="249" t="s">
        <v>320</v>
      </c>
      <c r="F217" s="251" t="s">
        <v>89</v>
      </c>
      <c r="G217" s="250">
        <f>G218</f>
        <v>5429723</v>
      </c>
      <c r="H217" s="250">
        <f>H218</f>
        <v>5096823</v>
      </c>
    </row>
    <row r="218" spans="1:8" ht="25.5">
      <c r="A218" s="29" t="s">
        <v>487</v>
      </c>
      <c r="B218" s="29"/>
      <c r="C218" s="248" t="s">
        <v>558</v>
      </c>
      <c r="D218" s="248" t="s">
        <v>535</v>
      </c>
      <c r="E218" s="249" t="s">
        <v>321</v>
      </c>
      <c r="F218" s="251"/>
      <c r="G218" s="250">
        <f>G219</f>
        <v>5429723</v>
      </c>
      <c r="H218" s="250">
        <f>H219</f>
        <v>5096823</v>
      </c>
    </row>
    <row r="219" spans="1:8" ht="38.25">
      <c r="A219" s="251" t="s">
        <v>738</v>
      </c>
      <c r="B219" s="251"/>
      <c r="C219" s="248" t="s">
        <v>558</v>
      </c>
      <c r="D219" s="248" t="s">
        <v>535</v>
      </c>
      <c r="E219" s="249" t="s">
        <v>322</v>
      </c>
      <c r="F219" s="248" t="s">
        <v>89</v>
      </c>
      <c r="G219" s="250">
        <f>SUM(G220:G222)</f>
        <v>5429723</v>
      </c>
      <c r="H219" s="250">
        <f>SUM(H220:H222)</f>
        <v>5096823</v>
      </c>
    </row>
    <row r="220" spans="1:8" ht="89.25">
      <c r="A220" s="13" t="s">
        <v>740</v>
      </c>
      <c r="B220" s="13"/>
      <c r="C220" s="248" t="s">
        <v>558</v>
      </c>
      <c r="D220" s="248" t="s">
        <v>535</v>
      </c>
      <c r="E220" s="249" t="s">
        <v>322</v>
      </c>
      <c r="F220" s="248">
        <v>100</v>
      </c>
      <c r="G220" s="247">
        <v>5205523</v>
      </c>
      <c r="H220" s="247">
        <v>4886368</v>
      </c>
    </row>
    <row r="221" spans="1:8" ht="38.25">
      <c r="A221" s="13" t="s">
        <v>232</v>
      </c>
      <c r="B221" s="13"/>
      <c r="C221" s="248" t="s">
        <v>558</v>
      </c>
      <c r="D221" s="248" t="s">
        <v>535</v>
      </c>
      <c r="E221" s="249" t="s">
        <v>322</v>
      </c>
      <c r="F221" s="248">
        <v>200</v>
      </c>
      <c r="G221" s="247">
        <v>191304</v>
      </c>
      <c r="H221" s="247">
        <v>179576</v>
      </c>
    </row>
    <row r="222" spans="1:8" ht="12.75">
      <c r="A222" s="13" t="s">
        <v>79</v>
      </c>
      <c r="B222" s="13"/>
      <c r="C222" s="248" t="s">
        <v>558</v>
      </c>
      <c r="D222" s="248" t="s">
        <v>535</v>
      </c>
      <c r="E222" s="249" t="s">
        <v>322</v>
      </c>
      <c r="F222" s="248">
        <v>800</v>
      </c>
      <c r="G222" s="247">
        <v>32896</v>
      </c>
      <c r="H222" s="247">
        <v>30879</v>
      </c>
    </row>
    <row r="223" spans="1:8" ht="51">
      <c r="A223" s="12" t="s">
        <v>592</v>
      </c>
      <c r="B223" s="12"/>
      <c r="C223" s="248" t="s">
        <v>558</v>
      </c>
      <c r="D223" s="248" t="s">
        <v>535</v>
      </c>
      <c r="E223" s="249" t="s">
        <v>323</v>
      </c>
      <c r="F223" s="251"/>
      <c r="G223" s="250">
        <f>G224</f>
        <v>23121106</v>
      </c>
      <c r="H223" s="250">
        <f>H224</f>
        <v>21712921</v>
      </c>
    </row>
    <row r="224" spans="1:8" ht="63.75">
      <c r="A224" s="29" t="s">
        <v>646</v>
      </c>
      <c r="B224" s="29"/>
      <c r="C224" s="248" t="s">
        <v>558</v>
      </c>
      <c r="D224" s="248" t="s">
        <v>535</v>
      </c>
      <c r="E224" s="249" t="s">
        <v>324</v>
      </c>
      <c r="F224" s="251"/>
      <c r="G224" s="250">
        <f>G225+G227</f>
        <v>23121106</v>
      </c>
      <c r="H224" s="250">
        <f>H225+H227</f>
        <v>21712921</v>
      </c>
    </row>
    <row r="225" spans="1:8" ht="38.25">
      <c r="A225" s="251" t="s">
        <v>738</v>
      </c>
      <c r="B225" s="251"/>
      <c r="C225" s="248" t="s">
        <v>558</v>
      </c>
      <c r="D225" s="248" t="s">
        <v>535</v>
      </c>
      <c r="E225" s="249" t="s">
        <v>325</v>
      </c>
      <c r="F225" s="251"/>
      <c r="G225" s="250">
        <f>G226</f>
        <v>23031106</v>
      </c>
      <c r="H225" s="250">
        <f>H226</f>
        <v>21619052</v>
      </c>
    </row>
    <row r="226" spans="1:8" ht="51">
      <c r="A226" s="13" t="s">
        <v>92</v>
      </c>
      <c r="B226" s="13"/>
      <c r="C226" s="248" t="s">
        <v>558</v>
      </c>
      <c r="D226" s="248" t="s">
        <v>535</v>
      </c>
      <c r="E226" s="249" t="s">
        <v>325</v>
      </c>
      <c r="F226" s="251">
        <v>600</v>
      </c>
      <c r="G226" s="247">
        <v>23031106</v>
      </c>
      <c r="H226" s="247">
        <v>21619052</v>
      </c>
    </row>
    <row r="227" spans="1:8" ht="36">
      <c r="A227" s="30" t="s">
        <v>295</v>
      </c>
      <c r="B227" s="30"/>
      <c r="C227" s="283" t="s">
        <v>558</v>
      </c>
      <c r="D227" s="248" t="s">
        <v>535</v>
      </c>
      <c r="E227" s="249" t="s">
        <v>274</v>
      </c>
      <c r="F227" s="251"/>
      <c r="G227" s="250">
        <f>G228</f>
        <v>90000</v>
      </c>
      <c r="H227" s="250">
        <f>H228</f>
        <v>93869</v>
      </c>
    </row>
    <row r="228" spans="1:8" ht="38.25">
      <c r="A228" s="246" t="s">
        <v>93</v>
      </c>
      <c r="B228" s="246"/>
      <c r="C228" s="282" t="s">
        <v>558</v>
      </c>
      <c r="D228" s="244" t="s">
        <v>535</v>
      </c>
      <c r="E228" s="245" t="s">
        <v>274</v>
      </c>
      <c r="F228" s="272">
        <v>200</v>
      </c>
      <c r="G228" s="243">
        <v>90000</v>
      </c>
      <c r="H228" s="243">
        <v>93869</v>
      </c>
    </row>
    <row r="229" spans="1:8" ht="12.75">
      <c r="A229" s="257" t="s">
        <v>45</v>
      </c>
      <c r="B229" s="257"/>
      <c r="C229" s="271" t="s">
        <v>104</v>
      </c>
      <c r="D229" s="225" t="s">
        <v>466</v>
      </c>
      <c r="E229" s="255"/>
      <c r="F229" s="254"/>
      <c r="G229" s="223">
        <f aca="true" t="shared" si="16" ref="G229:H233">G230</f>
        <v>1084220</v>
      </c>
      <c r="H229" s="223">
        <f t="shared" si="16"/>
        <v>1084220</v>
      </c>
    </row>
    <row r="230" spans="1:8" ht="25.5">
      <c r="A230" s="13" t="s">
        <v>46</v>
      </c>
      <c r="B230" s="13"/>
      <c r="C230" s="283" t="s">
        <v>104</v>
      </c>
      <c r="D230" s="283" t="s">
        <v>659</v>
      </c>
      <c r="E230" s="249"/>
      <c r="F230" s="251"/>
      <c r="G230" s="250">
        <f t="shared" si="16"/>
        <v>1084220</v>
      </c>
      <c r="H230" s="250">
        <f t="shared" si="16"/>
        <v>1084220</v>
      </c>
    </row>
    <row r="231" spans="1:8" ht="38.25">
      <c r="A231" s="266" t="s">
        <v>631</v>
      </c>
      <c r="B231" s="266"/>
      <c r="C231" s="283" t="s">
        <v>104</v>
      </c>
      <c r="D231" s="283" t="s">
        <v>659</v>
      </c>
      <c r="E231" s="249" t="s">
        <v>14</v>
      </c>
      <c r="F231" s="251"/>
      <c r="G231" s="250">
        <f t="shared" si="16"/>
        <v>1084220</v>
      </c>
      <c r="H231" s="250">
        <f t="shared" si="16"/>
        <v>1084220</v>
      </c>
    </row>
    <row r="232" spans="1:8" ht="25.5">
      <c r="A232" s="12" t="s">
        <v>641</v>
      </c>
      <c r="B232" s="12"/>
      <c r="C232" s="283" t="s">
        <v>104</v>
      </c>
      <c r="D232" s="283" t="s">
        <v>659</v>
      </c>
      <c r="E232" s="252" t="s">
        <v>16</v>
      </c>
      <c r="F232" s="251"/>
      <c r="G232" s="250">
        <f t="shared" si="16"/>
        <v>1084220</v>
      </c>
      <c r="H232" s="250">
        <f t="shared" si="16"/>
        <v>1084220</v>
      </c>
    </row>
    <row r="233" spans="1:8" ht="51">
      <c r="A233" s="27" t="s">
        <v>773</v>
      </c>
      <c r="B233" s="27"/>
      <c r="C233" s="283" t="s">
        <v>104</v>
      </c>
      <c r="D233" s="283" t="s">
        <v>659</v>
      </c>
      <c r="E233" s="249" t="s">
        <v>47</v>
      </c>
      <c r="F233" s="251"/>
      <c r="G233" s="250">
        <f t="shared" si="16"/>
        <v>1084220</v>
      </c>
      <c r="H233" s="250">
        <f t="shared" si="16"/>
        <v>1084220</v>
      </c>
    </row>
    <row r="234" spans="1:8" ht="46.5" customHeight="1">
      <c r="A234" s="246" t="s">
        <v>93</v>
      </c>
      <c r="B234" s="246"/>
      <c r="C234" s="282" t="s">
        <v>104</v>
      </c>
      <c r="D234" s="282" t="s">
        <v>659</v>
      </c>
      <c r="E234" s="245" t="s">
        <v>47</v>
      </c>
      <c r="F234" s="272">
        <v>200</v>
      </c>
      <c r="G234" s="243">
        <v>1084220</v>
      </c>
      <c r="H234" s="243">
        <v>1084220</v>
      </c>
    </row>
    <row r="235" spans="1:8" ht="12.75">
      <c r="A235" s="226" t="s">
        <v>571</v>
      </c>
      <c r="B235" s="226"/>
      <c r="C235" s="224" t="s">
        <v>559</v>
      </c>
      <c r="D235" s="271" t="s">
        <v>466</v>
      </c>
      <c r="E235" s="224" t="s">
        <v>89</v>
      </c>
      <c r="F235" s="224" t="s">
        <v>89</v>
      </c>
      <c r="G235" s="223">
        <f>G236+G242+G255</f>
        <v>9698890</v>
      </c>
      <c r="H235" s="223">
        <f>H236+H242+H255</f>
        <v>7583618</v>
      </c>
    </row>
    <row r="236" spans="1:8" ht="12.75">
      <c r="A236" s="269" t="s">
        <v>572</v>
      </c>
      <c r="B236" s="269"/>
      <c r="C236" s="268" t="s">
        <v>559</v>
      </c>
      <c r="D236" s="268" t="s">
        <v>103</v>
      </c>
      <c r="E236" s="268" t="s">
        <v>89</v>
      </c>
      <c r="F236" s="268" t="s">
        <v>89</v>
      </c>
      <c r="G236" s="250">
        <f aca="true" t="shared" si="17" ref="G236:H240">G237</f>
        <v>20000</v>
      </c>
      <c r="H236" s="250">
        <f t="shared" si="17"/>
        <v>18774</v>
      </c>
    </row>
    <row r="237" spans="1:8" ht="53.25" customHeight="1">
      <c r="A237" s="266" t="s">
        <v>273</v>
      </c>
      <c r="B237" s="266"/>
      <c r="C237" s="248">
        <v>10</v>
      </c>
      <c r="D237" s="248" t="s">
        <v>103</v>
      </c>
      <c r="E237" s="249" t="s">
        <v>562</v>
      </c>
      <c r="F237" s="248"/>
      <c r="G237" s="250">
        <f t="shared" si="17"/>
        <v>20000</v>
      </c>
      <c r="H237" s="250">
        <f t="shared" si="17"/>
        <v>18774</v>
      </c>
    </row>
    <row r="238" spans="1:8" ht="76.5">
      <c r="A238" s="12" t="s">
        <v>272</v>
      </c>
      <c r="B238" s="12"/>
      <c r="C238" s="248">
        <v>10</v>
      </c>
      <c r="D238" s="248" t="s">
        <v>103</v>
      </c>
      <c r="E238" s="252" t="s">
        <v>563</v>
      </c>
      <c r="F238" s="248"/>
      <c r="G238" s="250">
        <f t="shared" si="17"/>
        <v>20000</v>
      </c>
      <c r="H238" s="250">
        <f t="shared" si="17"/>
        <v>18774</v>
      </c>
    </row>
    <row r="239" spans="1:8" ht="25.5">
      <c r="A239" s="28" t="s">
        <v>463</v>
      </c>
      <c r="B239" s="28"/>
      <c r="C239" s="248">
        <v>10</v>
      </c>
      <c r="D239" s="248" t="s">
        <v>103</v>
      </c>
      <c r="E239" s="252" t="s">
        <v>308</v>
      </c>
      <c r="F239" s="248"/>
      <c r="G239" s="250">
        <f t="shared" si="17"/>
        <v>20000</v>
      </c>
      <c r="H239" s="250">
        <f t="shared" si="17"/>
        <v>18774</v>
      </c>
    </row>
    <row r="240" spans="1:8" ht="12.75">
      <c r="A240" s="30" t="s">
        <v>278</v>
      </c>
      <c r="B240" s="30"/>
      <c r="C240" s="248">
        <v>10</v>
      </c>
      <c r="D240" s="248" t="s">
        <v>103</v>
      </c>
      <c r="E240" s="249" t="s">
        <v>277</v>
      </c>
      <c r="F240" s="248"/>
      <c r="G240" s="250">
        <f t="shared" si="17"/>
        <v>20000</v>
      </c>
      <c r="H240" s="250">
        <f t="shared" si="17"/>
        <v>18774</v>
      </c>
    </row>
    <row r="241" spans="1:8" ht="25.5">
      <c r="A241" s="13" t="s">
        <v>83</v>
      </c>
      <c r="B241" s="13"/>
      <c r="C241" s="248">
        <v>10</v>
      </c>
      <c r="D241" s="248" t="s">
        <v>103</v>
      </c>
      <c r="E241" s="249" t="s">
        <v>277</v>
      </c>
      <c r="F241" s="248">
        <v>300</v>
      </c>
      <c r="G241" s="247">
        <v>20000</v>
      </c>
      <c r="H241" s="247">
        <v>18774</v>
      </c>
    </row>
    <row r="242" spans="1:8" ht="12.75">
      <c r="A242" s="269" t="s">
        <v>573</v>
      </c>
      <c r="B242" s="269"/>
      <c r="C242" s="268" t="s">
        <v>559</v>
      </c>
      <c r="D242" s="268" t="s">
        <v>538</v>
      </c>
      <c r="E242" s="268" t="s">
        <v>89</v>
      </c>
      <c r="F242" s="268" t="s">
        <v>89</v>
      </c>
      <c r="G242" s="250">
        <f>G249+G243</f>
        <v>9344190</v>
      </c>
      <c r="H242" s="250">
        <f>H249+H243</f>
        <v>7230144</v>
      </c>
    </row>
    <row r="243" spans="1:8" ht="38.25">
      <c r="A243" s="266" t="s">
        <v>166</v>
      </c>
      <c r="B243" s="266"/>
      <c r="C243" s="248" t="s">
        <v>559</v>
      </c>
      <c r="D243" s="248" t="s">
        <v>538</v>
      </c>
      <c r="E243" s="249" t="s">
        <v>227</v>
      </c>
      <c r="F243" s="248"/>
      <c r="G243" s="250">
        <f aca="true" t="shared" si="18" ref="G243:H247">G244</f>
        <v>4228092</v>
      </c>
      <c r="H243" s="250">
        <f t="shared" si="18"/>
        <v>2114046</v>
      </c>
    </row>
    <row r="244" spans="1:8" ht="89.25">
      <c r="A244" s="12" t="s">
        <v>244</v>
      </c>
      <c r="B244" s="12"/>
      <c r="C244" s="248" t="s">
        <v>559</v>
      </c>
      <c r="D244" s="248" t="s">
        <v>538</v>
      </c>
      <c r="E244" s="252" t="s">
        <v>7</v>
      </c>
      <c r="F244" s="251" t="s">
        <v>89</v>
      </c>
      <c r="G244" s="250">
        <f t="shared" si="18"/>
        <v>4228092</v>
      </c>
      <c r="H244" s="250">
        <f t="shared" si="18"/>
        <v>2114046</v>
      </c>
    </row>
    <row r="245" spans="1:8" ht="63.75">
      <c r="A245" s="29" t="s">
        <v>762</v>
      </c>
      <c r="B245" s="29"/>
      <c r="C245" s="248" t="s">
        <v>559</v>
      </c>
      <c r="D245" s="248" t="s">
        <v>538</v>
      </c>
      <c r="E245" s="248" t="s">
        <v>126</v>
      </c>
      <c r="F245" s="248"/>
      <c r="G245" s="250">
        <f t="shared" si="18"/>
        <v>4228092</v>
      </c>
      <c r="H245" s="250">
        <f t="shared" si="18"/>
        <v>2114046</v>
      </c>
    </row>
    <row r="246" spans="1:8" ht="51">
      <c r="A246" s="483" t="s">
        <v>952</v>
      </c>
      <c r="B246" s="13"/>
      <c r="C246" s="248" t="s">
        <v>559</v>
      </c>
      <c r="D246" s="248" t="s">
        <v>538</v>
      </c>
      <c r="E246" s="192" t="s">
        <v>950</v>
      </c>
      <c r="F246" s="191"/>
      <c r="G246" s="247">
        <f t="shared" si="18"/>
        <v>4228092</v>
      </c>
      <c r="H246" s="247">
        <f t="shared" si="18"/>
        <v>2114046</v>
      </c>
    </row>
    <row r="247" spans="1:8" ht="76.5">
      <c r="A247" s="483" t="s">
        <v>924</v>
      </c>
      <c r="B247" s="13"/>
      <c r="C247" s="248" t="s">
        <v>559</v>
      </c>
      <c r="D247" s="248" t="s">
        <v>538</v>
      </c>
      <c r="E247" s="192" t="s">
        <v>933</v>
      </c>
      <c r="F247" s="191"/>
      <c r="G247" s="247">
        <f t="shared" si="18"/>
        <v>4228092</v>
      </c>
      <c r="H247" s="247">
        <f t="shared" si="18"/>
        <v>2114046</v>
      </c>
    </row>
    <row r="248" spans="1:8" ht="38.25">
      <c r="A248" s="483" t="s">
        <v>225</v>
      </c>
      <c r="B248" s="13"/>
      <c r="C248" s="248" t="s">
        <v>559</v>
      </c>
      <c r="D248" s="248" t="s">
        <v>538</v>
      </c>
      <c r="E248" s="192" t="s">
        <v>933</v>
      </c>
      <c r="F248" s="191">
        <v>400</v>
      </c>
      <c r="G248" s="247">
        <v>4228092</v>
      </c>
      <c r="H248" s="247">
        <v>2114046</v>
      </c>
    </row>
    <row r="249" spans="1:8" ht="51">
      <c r="A249" s="266" t="s">
        <v>281</v>
      </c>
      <c r="B249" s="266"/>
      <c r="C249" s="248">
        <v>10</v>
      </c>
      <c r="D249" s="248" t="s">
        <v>538</v>
      </c>
      <c r="E249" s="249" t="s">
        <v>562</v>
      </c>
      <c r="F249" s="248"/>
      <c r="G249" s="250">
        <f aca="true" t="shared" si="19" ref="G249:H251">G250</f>
        <v>5116098</v>
      </c>
      <c r="H249" s="250">
        <f t="shared" si="19"/>
        <v>5116098</v>
      </c>
    </row>
    <row r="250" spans="1:8" ht="63.75">
      <c r="A250" s="12" t="s">
        <v>282</v>
      </c>
      <c r="B250" s="12"/>
      <c r="C250" s="248">
        <v>10</v>
      </c>
      <c r="D250" s="248" t="s">
        <v>538</v>
      </c>
      <c r="E250" s="252" t="s">
        <v>563</v>
      </c>
      <c r="F250" s="248"/>
      <c r="G250" s="250">
        <f t="shared" si="19"/>
        <v>5116098</v>
      </c>
      <c r="H250" s="250">
        <f t="shared" si="19"/>
        <v>5116098</v>
      </c>
    </row>
    <row r="251" spans="1:8" ht="25.5">
      <c r="A251" s="32" t="s">
        <v>461</v>
      </c>
      <c r="B251" s="32"/>
      <c r="C251" s="248">
        <v>10</v>
      </c>
      <c r="D251" s="248" t="s">
        <v>538</v>
      </c>
      <c r="E251" s="252" t="s">
        <v>133</v>
      </c>
      <c r="F251" s="248"/>
      <c r="G251" s="250">
        <f t="shared" si="19"/>
        <v>5116098</v>
      </c>
      <c r="H251" s="250">
        <f t="shared" si="19"/>
        <v>5116098</v>
      </c>
    </row>
    <row r="252" spans="1:8" ht="25.5">
      <c r="A252" s="13" t="s">
        <v>327</v>
      </c>
      <c r="B252" s="13"/>
      <c r="C252" s="248">
        <v>10</v>
      </c>
      <c r="D252" s="248" t="s">
        <v>538</v>
      </c>
      <c r="E252" s="249" t="s">
        <v>247</v>
      </c>
      <c r="F252" s="248"/>
      <c r="G252" s="250">
        <f>SUM(G253:G254)</f>
        <v>5116098</v>
      </c>
      <c r="H252" s="250">
        <f>SUM(H253:H254)</f>
        <v>5116098</v>
      </c>
    </row>
    <row r="253" spans="1:8" ht="38.25">
      <c r="A253" s="13" t="s">
        <v>232</v>
      </c>
      <c r="B253" s="13"/>
      <c r="C253" s="248">
        <v>10</v>
      </c>
      <c r="D253" s="248" t="s">
        <v>538</v>
      </c>
      <c r="E253" s="249" t="s">
        <v>247</v>
      </c>
      <c r="F253" s="248">
        <v>200</v>
      </c>
      <c r="G253" s="247">
        <v>20382</v>
      </c>
      <c r="H253" s="247">
        <v>20382</v>
      </c>
    </row>
    <row r="254" spans="1:8" ht="25.5">
      <c r="A254" s="246" t="s">
        <v>83</v>
      </c>
      <c r="B254" s="246"/>
      <c r="C254" s="244">
        <v>10</v>
      </c>
      <c r="D254" s="244" t="s">
        <v>538</v>
      </c>
      <c r="E254" s="245" t="s">
        <v>247</v>
      </c>
      <c r="F254" s="244">
        <v>300</v>
      </c>
      <c r="G254" s="243">
        <v>5095716</v>
      </c>
      <c r="H254" s="243">
        <v>5095716</v>
      </c>
    </row>
    <row r="255" spans="1:8" ht="25.5">
      <c r="A255" s="269" t="s">
        <v>578</v>
      </c>
      <c r="B255" s="269"/>
      <c r="C255" s="268" t="s">
        <v>559</v>
      </c>
      <c r="D255" s="268" t="s">
        <v>539</v>
      </c>
      <c r="E255" s="268" t="s">
        <v>89</v>
      </c>
      <c r="F255" s="172"/>
      <c r="G255" s="460">
        <f aca="true" t="shared" si="20" ref="G255:H258">G256</f>
        <v>334700</v>
      </c>
      <c r="H255" s="460">
        <f t="shared" si="20"/>
        <v>334700</v>
      </c>
    </row>
    <row r="256" spans="1:8" ht="76.5">
      <c r="A256" s="266" t="s">
        <v>300</v>
      </c>
      <c r="B256" s="266"/>
      <c r="C256" s="248" t="s">
        <v>559</v>
      </c>
      <c r="D256" s="248" t="s">
        <v>539</v>
      </c>
      <c r="E256" s="249" t="s">
        <v>12</v>
      </c>
      <c r="F256" s="248"/>
      <c r="G256" s="250">
        <f t="shared" si="20"/>
        <v>334700</v>
      </c>
      <c r="H256" s="250">
        <f t="shared" si="20"/>
        <v>334700</v>
      </c>
    </row>
    <row r="257" spans="1:8" ht="114.75">
      <c r="A257" s="12" t="s">
        <v>301</v>
      </c>
      <c r="B257" s="12"/>
      <c r="C257" s="248" t="s">
        <v>559</v>
      </c>
      <c r="D257" s="248" t="s">
        <v>539</v>
      </c>
      <c r="E257" s="252" t="s">
        <v>13</v>
      </c>
      <c r="F257" s="248"/>
      <c r="G257" s="250">
        <f t="shared" si="20"/>
        <v>334700</v>
      </c>
      <c r="H257" s="250">
        <f t="shared" si="20"/>
        <v>334700</v>
      </c>
    </row>
    <row r="258" spans="1:8" ht="51">
      <c r="A258" s="13" t="s">
        <v>290</v>
      </c>
      <c r="B258" s="13"/>
      <c r="C258" s="248" t="s">
        <v>559</v>
      </c>
      <c r="D258" s="248" t="s">
        <v>539</v>
      </c>
      <c r="E258" s="248" t="s">
        <v>279</v>
      </c>
      <c r="F258" s="248"/>
      <c r="G258" s="250">
        <f t="shared" si="20"/>
        <v>334700</v>
      </c>
      <c r="H258" s="250">
        <f t="shared" si="20"/>
        <v>334700</v>
      </c>
    </row>
    <row r="259" spans="1:8" ht="76.5">
      <c r="A259" s="13" t="s">
        <v>111</v>
      </c>
      <c r="B259" s="13"/>
      <c r="C259" s="248" t="s">
        <v>559</v>
      </c>
      <c r="D259" s="248" t="s">
        <v>539</v>
      </c>
      <c r="E259" s="248" t="s">
        <v>291</v>
      </c>
      <c r="F259" s="248"/>
      <c r="G259" s="250">
        <f>SUM(G260:G260)</f>
        <v>334700</v>
      </c>
      <c r="H259" s="250">
        <f>SUM(H260:H260)</f>
        <v>334700</v>
      </c>
    </row>
    <row r="260" spans="1:8" ht="89.25">
      <c r="A260" s="13" t="s">
        <v>740</v>
      </c>
      <c r="B260" s="13"/>
      <c r="C260" s="248" t="s">
        <v>559</v>
      </c>
      <c r="D260" s="248" t="s">
        <v>539</v>
      </c>
      <c r="E260" s="248" t="s">
        <v>291</v>
      </c>
      <c r="F260" s="248">
        <v>100</v>
      </c>
      <c r="G260" s="247">
        <v>334700</v>
      </c>
      <c r="H260" s="247">
        <v>334700</v>
      </c>
    </row>
    <row r="261" spans="1:8" ht="12.75">
      <c r="A261" s="226" t="s">
        <v>246</v>
      </c>
      <c r="B261" s="226"/>
      <c r="C261" s="224" t="s">
        <v>541</v>
      </c>
      <c r="D261" s="271" t="s">
        <v>466</v>
      </c>
      <c r="E261" s="224" t="s">
        <v>89</v>
      </c>
      <c r="F261" s="224" t="s">
        <v>89</v>
      </c>
      <c r="G261" s="270">
        <f>G262</f>
        <v>50000</v>
      </c>
      <c r="H261" s="270">
        <f>H262</f>
        <v>46935</v>
      </c>
    </row>
    <row r="262" spans="1:8" ht="12.75">
      <c r="A262" s="269" t="s">
        <v>443</v>
      </c>
      <c r="B262" s="269"/>
      <c r="C262" s="268" t="s">
        <v>541</v>
      </c>
      <c r="D262" s="268" t="s">
        <v>537</v>
      </c>
      <c r="E262" s="268" t="s">
        <v>89</v>
      </c>
      <c r="F262" s="268" t="s">
        <v>89</v>
      </c>
      <c r="G262" s="250">
        <f>G268</f>
        <v>50000</v>
      </c>
      <c r="H262" s="250">
        <f>H268</f>
        <v>46935</v>
      </c>
    </row>
    <row r="263" spans="1:8" ht="81.75" customHeight="1" hidden="1">
      <c r="A263" s="266" t="s">
        <v>483</v>
      </c>
      <c r="B263" s="266"/>
      <c r="C263" s="248">
        <v>11</v>
      </c>
      <c r="D263" s="283" t="s">
        <v>537</v>
      </c>
      <c r="E263" s="249" t="s">
        <v>34</v>
      </c>
      <c r="F263" s="268"/>
      <c r="G263" s="250">
        <f aca="true" t="shared" si="21" ref="G263:H266">G264</f>
        <v>0</v>
      </c>
      <c r="H263" s="250">
        <f t="shared" si="21"/>
        <v>0</v>
      </c>
    </row>
    <row r="264" spans="1:8" ht="127.5" hidden="1">
      <c r="A264" s="12" t="s">
        <v>219</v>
      </c>
      <c r="B264" s="12"/>
      <c r="C264" s="248">
        <v>11</v>
      </c>
      <c r="D264" s="283" t="s">
        <v>537</v>
      </c>
      <c r="E264" s="252" t="s">
        <v>220</v>
      </c>
      <c r="F264" s="268"/>
      <c r="G264" s="250">
        <f t="shared" si="21"/>
        <v>0</v>
      </c>
      <c r="H264" s="250">
        <f t="shared" si="21"/>
        <v>0</v>
      </c>
    </row>
    <row r="265" spans="1:8" ht="51" hidden="1">
      <c r="A265" s="251" t="s">
        <v>221</v>
      </c>
      <c r="B265" s="251"/>
      <c r="C265" s="248">
        <v>11</v>
      </c>
      <c r="D265" s="283" t="s">
        <v>537</v>
      </c>
      <c r="E265" s="249" t="s">
        <v>222</v>
      </c>
      <c r="F265" s="268"/>
      <c r="G265" s="250">
        <f t="shared" si="21"/>
        <v>0</v>
      </c>
      <c r="H265" s="250">
        <f t="shared" si="21"/>
        <v>0</v>
      </c>
    </row>
    <row r="266" spans="1:8" ht="63.75" hidden="1">
      <c r="A266" s="396" t="s">
        <v>223</v>
      </c>
      <c r="B266" s="396"/>
      <c r="C266" s="248">
        <v>11</v>
      </c>
      <c r="D266" s="283" t="s">
        <v>537</v>
      </c>
      <c r="E266" s="249" t="s">
        <v>224</v>
      </c>
      <c r="F266" s="268"/>
      <c r="G266" s="250">
        <f t="shared" si="21"/>
        <v>0</v>
      </c>
      <c r="H266" s="250">
        <f t="shared" si="21"/>
        <v>0</v>
      </c>
    </row>
    <row r="267" spans="1:8" ht="38.25" hidden="1">
      <c r="A267" s="13" t="s">
        <v>225</v>
      </c>
      <c r="B267" s="13"/>
      <c r="C267" s="248">
        <v>11</v>
      </c>
      <c r="D267" s="283" t="s">
        <v>537</v>
      </c>
      <c r="E267" s="249" t="s">
        <v>224</v>
      </c>
      <c r="F267" s="268">
        <v>400</v>
      </c>
      <c r="G267" s="247"/>
      <c r="H267" s="247"/>
    </row>
    <row r="268" spans="1:8" ht="89.25">
      <c r="A268" s="266" t="s">
        <v>442</v>
      </c>
      <c r="B268" s="266"/>
      <c r="C268" s="248" t="s">
        <v>541</v>
      </c>
      <c r="D268" s="248" t="s">
        <v>537</v>
      </c>
      <c r="E268" s="249" t="s">
        <v>441</v>
      </c>
      <c r="F268" s="264" t="s">
        <v>89</v>
      </c>
      <c r="G268" s="250">
        <f aca="true" t="shared" si="22" ref="G268:H271">G269</f>
        <v>50000</v>
      </c>
      <c r="H268" s="250">
        <f t="shared" si="22"/>
        <v>46935</v>
      </c>
    </row>
    <row r="269" spans="1:8" ht="114.75">
      <c r="A269" s="12" t="s">
        <v>440</v>
      </c>
      <c r="B269" s="12"/>
      <c r="C269" s="248" t="s">
        <v>541</v>
      </c>
      <c r="D269" s="248" t="s">
        <v>537</v>
      </c>
      <c r="E269" s="249" t="s">
        <v>252</v>
      </c>
      <c r="F269" s="265" t="s">
        <v>89</v>
      </c>
      <c r="G269" s="250">
        <f t="shared" si="22"/>
        <v>50000</v>
      </c>
      <c r="H269" s="250">
        <f t="shared" si="22"/>
        <v>46935</v>
      </c>
    </row>
    <row r="270" spans="1:8" ht="89.25">
      <c r="A270" s="33" t="s">
        <v>251</v>
      </c>
      <c r="B270" s="33"/>
      <c r="C270" s="248" t="s">
        <v>541</v>
      </c>
      <c r="D270" s="248" t="s">
        <v>537</v>
      </c>
      <c r="E270" s="249" t="s">
        <v>250</v>
      </c>
      <c r="F270" s="265"/>
      <c r="G270" s="250">
        <f t="shared" si="22"/>
        <v>50000</v>
      </c>
      <c r="H270" s="250">
        <f t="shared" si="22"/>
        <v>46935</v>
      </c>
    </row>
    <row r="271" spans="1:8" ht="76.5">
      <c r="A271" s="33" t="s">
        <v>249</v>
      </c>
      <c r="B271" s="33"/>
      <c r="C271" s="248" t="s">
        <v>541</v>
      </c>
      <c r="D271" s="248" t="s">
        <v>537</v>
      </c>
      <c r="E271" s="249" t="s">
        <v>248</v>
      </c>
      <c r="F271" s="265"/>
      <c r="G271" s="250">
        <f t="shared" si="22"/>
        <v>50000</v>
      </c>
      <c r="H271" s="250">
        <f t="shared" si="22"/>
        <v>46935</v>
      </c>
    </row>
    <row r="272" spans="1:8" ht="38.25">
      <c r="A272" s="246" t="s">
        <v>232</v>
      </c>
      <c r="B272" s="246"/>
      <c r="C272" s="244" t="s">
        <v>541</v>
      </c>
      <c r="D272" s="244" t="s">
        <v>537</v>
      </c>
      <c r="E272" s="245" t="s">
        <v>248</v>
      </c>
      <c r="F272" s="272">
        <v>200</v>
      </c>
      <c r="G272" s="243">
        <v>50000</v>
      </c>
      <c r="H272" s="243">
        <v>46935</v>
      </c>
    </row>
    <row r="273" spans="1:8" ht="38.25">
      <c r="A273" s="257" t="s">
        <v>467</v>
      </c>
      <c r="B273" s="271" t="s">
        <v>329</v>
      </c>
      <c r="C273" s="256"/>
      <c r="D273" s="256"/>
      <c r="E273" s="255"/>
      <c r="F273" s="254"/>
      <c r="G273" s="223">
        <f>G274+G283+G291+G300+G349</f>
        <v>71204271</v>
      </c>
      <c r="H273" s="223">
        <f>H274+H283+H291+H300+H349</f>
        <v>73912271</v>
      </c>
    </row>
    <row r="274" spans="1:8" ht="12.75">
      <c r="A274" s="226" t="s">
        <v>598</v>
      </c>
      <c r="B274" s="224"/>
      <c r="C274" s="224" t="s">
        <v>535</v>
      </c>
      <c r="D274" s="271" t="s">
        <v>466</v>
      </c>
      <c r="E274" s="224" t="s">
        <v>89</v>
      </c>
      <c r="F274" s="224" t="s">
        <v>89</v>
      </c>
      <c r="G274" s="223">
        <f>G275</f>
        <v>4221347</v>
      </c>
      <c r="H274" s="223">
        <f>H275</f>
        <v>3962533</v>
      </c>
    </row>
    <row r="275" spans="1:8" ht="63.75">
      <c r="A275" s="269" t="s">
        <v>349</v>
      </c>
      <c r="B275" s="268"/>
      <c r="C275" s="268" t="s">
        <v>535</v>
      </c>
      <c r="D275" s="268" t="s">
        <v>539</v>
      </c>
      <c r="E275" s="268" t="s">
        <v>89</v>
      </c>
      <c r="F275" s="268" t="s">
        <v>89</v>
      </c>
      <c r="G275" s="250">
        <f aca="true" t="shared" si="23" ref="G275:H278">G276</f>
        <v>4221347</v>
      </c>
      <c r="H275" s="250">
        <f t="shared" si="23"/>
        <v>3962533</v>
      </c>
    </row>
    <row r="276" spans="1:8" ht="38.25">
      <c r="A276" s="266" t="s">
        <v>175</v>
      </c>
      <c r="B276" s="266"/>
      <c r="C276" s="248" t="s">
        <v>535</v>
      </c>
      <c r="D276" s="248" t="s">
        <v>539</v>
      </c>
      <c r="E276" s="248" t="s">
        <v>698</v>
      </c>
      <c r="F276" s="248" t="s">
        <v>89</v>
      </c>
      <c r="G276" s="250">
        <f t="shared" si="23"/>
        <v>4221347</v>
      </c>
      <c r="H276" s="250">
        <f t="shared" si="23"/>
        <v>3962533</v>
      </c>
    </row>
    <row r="277" spans="1:8" ht="76.5">
      <c r="A277" s="12" t="s">
        <v>177</v>
      </c>
      <c r="B277" s="12"/>
      <c r="C277" s="248" t="s">
        <v>535</v>
      </c>
      <c r="D277" s="248" t="s">
        <v>539</v>
      </c>
      <c r="E277" s="248" t="s">
        <v>699</v>
      </c>
      <c r="F277" s="251" t="s">
        <v>89</v>
      </c>
      <c r="G277" s="250">
        <f t="shared" si="23"/>
        <v>4221347</v>
      </c>
      <c r="H277" s="250">
        <f t="shared" si="23"/>
        <v>3962533</v>
      </c>
    </row>
    <row r="278" spans="1:8" ht="63.75">
      <c r="A278" s="28" t="s">
        <v>599</v>
      </c>
      <c r="B278" s="28"/>
      <c r="C278" s="248" t="s">
        <v>535</v>
      </c>
      <c r="D278" s="248" t="s">
        <v>539</v>
      </c>
      <c r="E278" s="248" t="s">
        <v>316</v>
      </c>
      <c r="F278" s="251"/>
      <c r="G278" s="250">
        <f t="shared" si="23"/>
        <v>4221347</v>
      </c>
      <c r="H278" s="250">
        <f t="shared" si="23"/>
        <v>3962533</v>
      </c>
    </row>
    <row r="279" spans="1:8" ht="38.25">
      <c r="A279" s="251" t="s">
        <v>736</v>
      </c>
      <c r="B279" s="251"/>
      <c r="C279" s="248" t="s">
        <v>535</v>
      </c>
      <c r="D279" s="248" t="s">
        <v>539</v>
      </c>
      <c r="E279" s="248" t="s">
        <v>700</v>
      </c>
      <c r="F279" s="248" t="s">
        <v>89</v>
      </c>
      <c r="G279" s="250">
        <f>SUM(G280:G282)</f>
        <v>4221347</v>
      </c>
      <c r="H279" s="250">
        <f>SUM(H280:H282)</f>
        <v>3962533</v>
      </c>
    </row>
    <row r="280" spans="1:8" ht="89.25">
      <c r="A280" s="13" t="s">
        <v>740</v>
      </c>
      <c r="B280" s="13"/>
      <c r="C280" s="248" t="s">
        <v>535</v>
      </c>
      <c r="D280" s="248" t="s">
        <v>539</v>
      </c>
      <c r="E280" s="248" t="s">
        <v>700</v>
      </c>
      <c r="F280" s="248">
        <v>100</v>
      </c>
      <c r="G280" s="247">
        <v>4151448</v>
      </c>
      <c r="H280" s="247">
        <v>3896920</v>
      </c>
    </row>
    <row r="281" spans="1:8" ht="38.25">
      <c r="A281" s="13" t="s">
        <v>232</v>
      </c>
      <c r="B281" s="13"/>
      <c r="C281" s="248" t="s">
        <v>535</v>
      </c>
      <c r="D281" s="248" t="s">
        <v>539</v>
      </c>
      <c r="E281" s="248" t="s">
        <v>700</v>
      </c>
      <c r="F281" s="248" t="s">
        <v>76</v>
      </c>
      <c r="G281" s="247">
        <v>69899</v>
      </c>
      <c r="H281" s="247">
        <v>65613</v>
      </c>
    </row>
    <row r="282" spans="1:8" ht="12.75">
      <c r="A282" s="13" t="s">
        <v>79</v>
      </c>
      <c r="B282" s="13"/>
      <c r="C282" s="248" t="s">
        <v>535</v>
      </c>
      <c r="D282" s="248" t="s">
        <v>539</v>
      </c>
      <c r="E282" s="248" t="s">
        <v>700</v>
      </c>
      <c r="F282" s="248">
        <v>800</v>
      </c>
      <c r="G282" s="247"/>
      <c r="H282" s="247"/>
    </row>
    <row r="283" spans="1:8" ht="12.75">
      <c r="A283" s="226" t="s">
        <v>728</v>
      </c>
      <c r="B283" s="226"/>
      <c r="C283" s="224" t="s">
        <v>538</v>
      </c>
      <c r="D283" s="271" t="s">
        <v>466</v>
      </c>
      <c r="E283" s="224" t="s">
        <v>89</v>
      </c>
      <c r="F283" s="224" t="s">
        <v>89</v>
      </c>
      <c r="G283" s="223">
        <f>G284</f>
        <v>334700</v>
      </c>
      <c r="H283" s="223">
        <f>H284</f>
        <v>334700</v>
      </c>
    </row>
    <row r="284" spans="1:8" ht="12.75">
      <c r="A284" s="269" t="s">
        <v>729</v>
      </c>
      <c r="B284" s="269"/>
      <c r="C284" s="268" t="s">
        <v>538</v>
      </c>
      <c r="D284" s="268" t="s">
        <v>535</v>
      </c>
      <c r="E284" s="268" t="s">
        <v>89</v>
      </c>
      <c r="F284" s="268" t="s">
        <v>89</v>
      </c>
      <c r="G284" s="250">
        <f aca="true" t="shared" si="24" ref="G284:H287">G285</f>
        <v>334700</v>
      </c>
      <c r="H284" s="250">
        <f t="shared" si="24"/>
        <v>334700</v>
      </c>
    </row>
    <row r="285" spans="1:8" ht="51">
      <c r="A285" s="266" t="s">
        <v>707</v>
      </c>
      <c r="B285" s="266"/>
      <c r="C285" s="248" t="s">
        <v>538</v>
      </c>
      <c r="D285" s="248" t="s">
        <v>535</v>
      </c>
      <c r="E285" s="249" t="s">
        <v>22</v>
      </c>
      <c r="F285" s="248" t="s">
        <v>89</v>
      </c>
      <c r="G285" s="250">
        <f t="shared" si="24"/>
        <v>334700</v>
      </c>
      <c r="H285" s="250">
        <f t="shared" si="24"/>
        <v>334700</v>
      </c>
    </row>
    <row r="286" spans="1:8" ht="63.75">
      <c r="A286" s="12" t="s">
        <v>590</v>
      </c>
      <c r="B286" s="12"/>
      <c r="C286" s="248" t="s">
        <v>538</v>
      </c>
      <c r="D286" s="248" t="s">
        <v>535</v>
      </c>
      <c r="E286" s="249" t="s">
        <v>28</v>
      </c>
      <c r="F286" s="248"/>
      <c r="G286" s="250">
        <f t="shared" si="24"/>
        <v>334700</v>
      </c>
      <c r="H286" s="250">
        <f t="shared" si="24"/>
        <v>334700</v>
      </c>
    </row>
    <row r="287" spans="1:8" ht="63.75">
      <c r="A287" s="28" t="s">
        <v>457</v>
      </c>
      <c r="B287" s="28"/>
      <c r="C287" s="248" t="s">
        <v>538</v>
      </c>
      <c r="D287" s="248" t="s">
        <v>535</v>
      </c>
      <c r="E287" s="249" t="s">
        <v>29</v>
      </c>
      <c r="F287" s="248"/>
      <c r="G287" s="250">
        <f t="shared" si="24"/>
        <v>334700</v>
      </c>
      <c r="H287" s="250">
        <f t="shared" si="24"/>
        <v>334700</v>
      </c>
    </row>
    <row r="288" spans="1:8" ht="38.25">
      <c r="A288" s="251" t="s">
        <v>474</v>
      </c>
      <c r="B288" s="251"/>
      <c r="C288" s="248" t="s">
        <v>538</v>
      </c>
      <c r="D288" s="248" t="s">
        <v>535</v>
      </c>
      <c r="E288" s="249" t="s">
        <v>30</v>
      </c>
      <c r="F288" s="264" t="s">
        <v>89</v>
      </c>
      <c r="G288" s="250">
        <f>SUM(G289:G290)</f>
        <v>334700</v>
      </c>
      <c r="H288" s="250">
        <f>SUM(H289:H290)</f>
        <v>334700</v>
      </c>
    </row>
    <row r="289" spans="1:8" ht="89.25">
      <c r="A289" s="251" t="s">
        <v>740</v>
      </c>
      <c r="B289" s="251"/>
      <c r="C289" s="248" t="s">
        <v>538</v>
      </c>
      <c r="D289" s="248" t="s">
        <v>535</v>
      </c>
      <c r="E289" s="249" t="s">
        <v>30</v>
      </c>
      <c r="F289" s="191">
        <v>100</v>
      </c>
      <c r="G289" s="247">
        <v>331700</v>
      </c>
      <c r="H289" s="247">
        <v>331700</v>
      </c>
    </row>
    <row r="290" spans="1:8" ht="38.25">
      <c r="A290" s="251" t="s">
        <v>232</v>
      </c>
      <c r="B290" s="251"/>
      <c r="C290" s="248" t="s">
        <v>538</v>
      </c>
      <c r="D290" s="248" t="s">
        <v>535</v>
      </c>
      <c r="E290" s="249" t="s">
        <v>30</v>
      </c>
      <c r="F290" s="191">
        <v>200</v>
      </c>
      <c r="G290" s="247">
        <v>3000</v>
      </c>
      <c r="H290" s="247">
        <v>3000</v>
      </c>
    </row>
    <row r="291" spans="1:8" ht="12.75">
      <c r="A291" s="226" t="s">
        <v>566</v>
      </c>
      <c r="B291" s="226"/>
      <c r="C291" s="224" t="s">
        <v>659</v>
      </c>
      <c r="D291" s="271" t="s">
        <v>466</v>
      </c>
      <c r="E291" s="224" t="s">
        <v>89</v>
      </c>
      <c r="F291" s="224" t="s">
        <v>89</v>
      </c>
      <c r="G291" s="223">
        <f aca="true" t="shared" si="25" ref="G291:H295">G292</f>
        <v>1374762</v>
      </c>
      <c r="H291" s="223">
        <f t="shared" si="25"/>
        <v>1290474</v>
      </c>
    </row>
    <row r="292" spans="1:8" ht="25.5">
      <c r="A292" s="269" t="s">
        <v>569</v>
      </c>
      <c r="B292" s="269"/>
      <c r="C292" s="268" t="s">
        <v>659</v>
      </c>
      <c r="D292" s="268" t="s">
        <v>104</v>
      </c>
      <c r="E292" s="268" t="s">
        <v>89</v>
      </c>
      <c r="F292" s="268" t="s">
        <v>89</v>
      </c>
      <c r="G292" s="250">
        <f t="shared" si="25"/>
        <v>1374762</v>
      </c>
      <c r="H292" s="250">
        <f t="shared" si="25"/>
        <v>1290474</v>
      </c>
    </row>
    <row r="293" spans="1:8" ht="51">
      <c r="A293" s="266" t="s">
        <v>283</v>
      </c>
      <c r="B293" s="266"/>
      <c r="C293" s="248" t="s">
        <v>659</v>
      </c>
      <c r="D293" s="248" t="s">
        <v>104</v>
      </c>
      <c r="E293" s="249" t="s">
        <v>562</v>
      </c>
      <c r="F293" s="248" t="s">
        <v>89</v>
      </c>
      <c r="G293" s="250">
        <f t="shared" si="25"/>
        <v>1374762</v>
      </c>
      <c r="H293" s="250">
        <f t="shared" si="25"/>
        <v>1290474</v>
      </c>
    </row>
    <row r="294" spans="1:8" ht="76.5">
      <c r="A294" s="12" t="s">
        <v>713</v>
      </c>
      <c r="B294" s="12"/>
      <c r="C294" s="248" t="s">
        <v>659</v>
      </c>
      <c r="D294" s="248" t="s">
        <v>104</v>
      </c>
      <c r="E294" s="249" t="s">
        <v>313</v>
      </c>
      <c r="F294" s="251" t="s">
        <v>89</v>
      </c>
      <c r="G294" s="250">
        <f t="shared" si="25"/>
        <v>1374762</v>
      </c>
      <c r="H294" s="250">
        <f t="shared" si="25"/>
        <v>1290474</v>
      </c>
    </row>
    <row r="295" spans="1:8" ht="63.75">
      <c r="A295" s="251" t="s">
        <v>642</v>
      </c>
      <c r="B295" s="251"/>
      <c r="C295" s="248" t="s">
        <v>659</v>
      </c>
      <c r="D295" s="248" t="s">
        <v>104</v>
      </c>
      <c r="E295" s="249" t="s">
        <v>644</v>
      </c>
      <c r="F295" s="248"/>
      <c r="G295" s="250">
        <f t="shared" si="25"/>
        <v>1374762</v>
      </c>
      <c r="H295" s="250">
        <f t="shared" si="25"/>
        <v>1290474</v>
      </c>
    </row>
    <row r="296" spans="1:8" ht="38.25">
      <c r="A296" s="251" t="s">
        <v>736</v>
      </c>
      <c r="B296" s="251"/>
      <c r="C296" s="248" t="s">
        <v>659</v>
      </c>
      <c r="D296" s="248" t="s">
        <v>104</v>
      </c>
      <c r="E296" s="249" t="s">
        <v>645</v>
      </c>
      <c r="F296" s="248"/>
      <c r="G296" s="250">
        <f>SUM(G297:G299)</f>
        <v>1374762</v>
      </c>
      <c r="H296" s="250">
        <f>SUM(H297:H299)</f>
        <v>1290474</v>
      </c>
    </row>
    <row r="297" spans="1:8" ht="89.25">
      <c r="A297" s="13" t="s">
        <v>740</v>
      </c>
      <c r="B297" s="13"/>
      <c r="C297" s="248" t="s">
        <v>659</v>
      </c>
      <c r="D297" s="248" t="s">
        <v>104</v>
      </c>
      <c r="E297" s="249" t="s">
        <v>645</v>
      </c>
      <c r="F297" s="248" t="s">
        <v>597</v>
      </c>
      <c r="G297" s="247">
        <v>1290762</v>
      </c>
      <c r="H297" s="247">
        <v>1211624</v>
      </c>
    </row>
    <row r="298" spans="1:8" ht="38.25">
      <c r="A298" s="13" t="s">
        <v>232</v>
      </c>
      <c r="B298" s="13"/>
      <c r="C298" s="248" t="s">
        <v>659</v>
      </c>
      <c r="D298" s="248" t="s">
        <v>104</v>
      </c>
      <c r="E298" s="249" t="s">
        <v>645</v>
      </c>
      <c r="F298" s="248" t="s">
        <v>76</v>
      </c>
      <c r="G298" s="247">
        <v>84000</v>
      </c>
      <c r="H298" s="247">
        <v>78850</v>
      </c>
    </row>
    <row r="299" spans="1:8" ht="12.75">
      <c r="A299" s="246" t="s">
        <v>79</v>
      </c>
      <c r="B299" s="246"/>
      <c r="C299" s="244" t="s">
        <v>659</v>
      </c>
      <c r="D299" s="244" t="s">
        <v>104</v>
      </c>
      <c r="E299" s="245" t="s">
        <v>645</v>
      </c>
      <c r="F299" s="244">
        <v>800</v>
      </c>
      <c r="G299" s="243"/>
      <c r="H299" s="243"/>
    </row>
    <row r="300" spans="1:8" ht="12.75">
      <c r="A300" s="226" t="s">
        <v>571</v>
      </c>
      <c r="B300" s="226"/>
      <c r="C300" s="224" t="s">
        <v>559</v>
      </c>
      <c r="D300" s="271" t="s">
        <v>466</v>
      </c>
      <c r="E300" s="224" t="s">
        <v>89</v>
      </c>
      <c r="F300" s="224" t="s">
        <v>89</v>
      </c>
      <c r="G300" s="223">
        <f>G301+G319+G332</f>
        <v>65218462</v>
      </c>
      <c r="H300" s="223">
        <f>H301+H319+H332</f>
        <v>68272936</v>
      </c>
    </row>
    <row r="301" spans="1:8" ht="12.75">
      <c r="A301" s="269" t="s">
        <v>572</v>
      </c>
      <c r="B301" s="269"/>
      <c r="C301" s="268" t="s">
        <v>559</v>
      </c>
      <c r="D301" s="268" t="s">
        <v>103</v>
      </c>
      <c r="E301" s="268" t="s">
        <v>89</v>
      </c>
      <c r="F301" s="268" t="s">
        <v>89</v>
      </c>
      <c r="G301" s="250">
        <f>G302</f>
        <v>7465212</v>
      </c>
      <c r="H301" s="250">
        <f>H302</f>
        <v>7465212</v>
      </c>
    </row>
    <row r="302" spans="1:8" ht="38.25">
      <c r="A302" s="266" t="s">
        <v>166</v>
      </c>
      <c r="B302" s="266"/>
      <c r="C302" s="248" t="s">
        <v>559</v>
      </c>
      <c r="D302" s="248" t="s">
        <v>103</v>
      </c>
      <c r="E302" s="249" t="s">
        <v>227</v>
      </c>
      <c r="F302" s="248" t="s">
        <v>89</v>
      </c>
      <c r="G302" s="250">
        <f>G303</f>
        <v>7465212</v>
      </c>
      <c r="H302" s="250">
        <f>H303</f>
        <v>7465212</v>
      </c>
    </row>
    <row r="303" spans="1:8" ht="63.75">
      <c r="A303" s="12" t="s">
        <v>167</v>
      </c>
      <c r="B303" s="12"/>
      <c r="C303" s="248" t="s">
        <v>559</v>
      </c>
      <c r="D303" s="248" t="s">
        <v>103</v>
      </c>
      <c r="E303" s="252" t="s">
        <v>119</v>
      </c>
      <c r="F303" s="251" t="s">
        <v>89</v>
      </c>
      <c r="G303" s="250">
        <f>G304+G311+G315</f>
        <v>7465212</v>
      </c>
      <c r="H303" s="250">
        <f>H304+H311+H315</f>
        <v>7465212</v>
      </c>
    </row>
    <row r="304" spans="1:8" ht="38.25">
      <c r="A304" s="29" t="s">
        <v>647</v>
      </c>
      <c r="B304" s="29"/>
      <c r="C304" s="248" t="s">
        <v>559</v>
      </c>
      <c r="D304" s="248" t="s">
        <v>103</v>
      </c>
      <c r="E304" s="252" t="s">
        <v>128</v>
      </c>
      <c r="F304" s="248"/>
      <c r="G304" s="250">
        <f>G305+G308</f>
        <v>7074641</v>
      </c>
      <c r="H304" s="250">
        <f>H305+H308</f>
        <v>7074641</v>
      </c>
    </row>
    <row r="305" spans="1:8" ht="25.5">
      <c r="A305" s="251" t="s">
        <v>594</v>
      </c>
      <c r="B305" s="251"/>
      <c r="C305" s="248" t="s">
        <v>559</v>
      </c>
      <c r="D305" s="248" t="s">
        <v>103</v>
      </c>
      <c r="E305" s="249" t="s">
        <v>648</v>
      </c>
      <c r="F305" s="248" t="s">
        <v>89</v>
      </c>
      <c r="G305" s="250">
        <f>SUM(G306:G307)</f>
        <v>6592141</v>
      </c>
      <c r="H305" s="250">
        <f>SUM(H306:H307)</f>
        <v>6592141</v>
      </c>
    </row>
    <row r="306" spans="1:8" ht="38.25">
      <c r="A306" s="13" t="s">
        <v>232</v>
      </c>
      <c r="B306" s="13"/>
      <c r="C306" s="248" t="s">
        <v>559</v>
      </c>
      <c r="D306" s="248" t="s">
        <v>103</v>
      </c>
      <c r="E306" s="249" t="s">
        <v>648</v>
      </c>
      <c r="F306" s="248">
        <v>200</v>
      </c>
      <c r="G306" s="247">
        <v>71000</v>
      </c>
      <c r="H306" s="247">
        <v>71000</v>
      </c>
    </row>
    <row r="307" spans="1:8" ht="25.5">
      <c r="A307" s="13" t="s">
        <v>83</v>
      </c>
      <c r="B307" s="13"/>
      <c r="C307" s="248" t="s">
        <v>559</v>
      </c>
      <c r="D307" s="248" t="s">
        <v>103</v>
      </c>
      <c r="E307" s="249" t="s">
        <v>648</v>
      </c>
      <c r="F307" s="248">
        <v>300</v>
      </c>
      <c r="G307" s="247">
        <v>6521141</v>
      </c>
      <c r="H307" s="247">
        <v>6521141</v>
      </c>
    </row>
    <row r="308" spans="1:8" ht="25.5">
      <c r="A308" s="251" t="s">
        <v>595</v>
      </c>
      <c r="B308" s="251"/>
      <c r="C308" s="248" t="s">
        <v>559</v>
      </c>
      <c r="D308" s="248" t="s">
        <v>103</v>
      </c>
      <c r="E308" s="249" t="s">
        <v>649</v>
      </c>
      <c r="F308" s="248" t="s">
        <v>89</v>
      </c>
      <c r="G308" s="250">
        <f>SUM(G309:G310)</f>
        <v>482500</v>
      </c>
      <c r="H308" s="250">
        <f>SUM(H309:H310)</f>
        <v>482500</v>
      </c>
    </row>
    <row r="309" spans="1:8" ht="38.25">
      <c r="A309" s="13" t="s">
        <v>232</v>
      </c>
      <c r="B309" s="13"/>
      <c r="C309" s="248" t="s">
        <v>559</v>
      </c>
      <c r="D309" s="248" t="s">
        <v>103</v>
      </c>
      <c r="E309" s="249" t="s">
        <v>649</v>
      </c>
      <c r="F309" s="248">
        <v>200</v>
      </c>
      <c r="G309" s="247">
        <v>9500</v>
      </c>
      <c r="H309" s="247">
        <v>9500</v>
      </c>
    </row>
    <row r="310" spans="1:8" ht="25.5">
      <c r="A310" s="13" t="s">
        <v>83</v>
      </c>
      <c r="B310" s="13"/>
      <c r="C310" s="248" t="s">
        <v>559</v>
      </c>
      <c r="D310" s="248" t="s">
        <v>103</v>
      </c>
      <c r="E310" s="249" t="s">
        <v>649</v>
      </c>
      <c r="F310" s="248" t="s">
        <v>82</v>
      </c>
      <c r="G310" s="247">
        <v>473000</v>
      </c>
      <c r="H310" s="247">
        <v>473000</v>
      </c>
    </row>
    <row r="311" spans="1:8" ht="38.25">
      <c r="A311" s="28" t="s">
        <v>125</v>
      </c>
      <c r="B311" s="28"/>
      <c r="C311" s="268" t="s">
        <v>559</v>
      </c>
      <c r="D311" s="268" t="s">
        <v>103</v>
      </c>
      <c r="E311" s="252" t="s">
        <v>129</v>
      </c>
      <c r="F311" s="268"/>
      <c r="G311" s="250">
        <f>G312</f>
        <v>125083</v>
      </c>
      <c r="H311" s="250">
        <f>H312</f>
        <v>125083</v>
      </c>
    </row>
    <row r="312" spans="1:8" ht="51">
      <c r="A312" s="251" t="s">
        <v>266</v>
      </c>
      <c r="B312" s="251"/>
      <c r="C312" s="248" t="s">
        <v>559</v>
      </c>
      <c r="D312" s="248" t="s">
        <v>103</v>
      </c>
      <c r="E312" s="249" t="s">
        <v>130</v>
      </c>
      <c r="F312" s="248" t="s">
        <v>89</v>
      </c>
      <c r="G312" s="250">
        <f>SUM(G313:G314)</f>
        <v>125083</v>
      </c>
      <c r="H312" s="250">
        <f>SUM(H313:H314)</f>
        <v>125083</v>
      </c>
    </row>
    <row r="313" spans="1:8" ht="38.25">
      <c r="A313" s="13" t="s">
        <v>232</v>
      </c>
      <c r="B313" s="13"/>
      <c r="C313" s="248" t="s">
        <v>559</v>
      </c>
      <c r="D313" s="248" t="s">
        <v>103</v>
      </c>
      <c r="E313" s="249" t="s">
        <v>130</v>
      </c>
      <c r="F313" s="248">
        <v>200</v>
      </c>
      <c r="G313" s="250">
        <v>1900</v>
      </c>
      <c r="H313" s="250">
        <v>1900</v>
      </c>
    </row>
    <row r="314" spans="1:8" ht="25.5">
      <c r="A314" s="13" t="s">
        <v>83</v>
      </c>
      <c r="B314" s="13"/>
      <c r="C314" s="248" t="s">
        <v>559</v>
      </c>
      <c r="D314" s="248" t="s">
        <v>103</v>
      </c>
      <c r="E314" s="249" t="s">
        <v>130</v>
      </c>
      <c r="F314" s="248" t="s">
        <v>82</v>
      </c>
      <c r="G314" s="247">
        <v>123183</v>
      </c>
      <c r="H314" s="247">
        <v>123183</v>
      </c>
    </row>
    <row r="315" spans="1:8" ht="51">
      <c r="A315" s="31" t="s">
        <v>650</v>
      </c>
      <c r="B315" s="31"/>
      <c r="C315" s="268" t="s">
        <v>559</v>
      </c>
      <c r="D315" s="268" t="s">
        <v>103</v>
      </c>
      <c r="E315" s="252" t="s">
        <v>131</v>
      </c>
      <c r="F315" s="268"/>
      <c r="G315" s="250">
        <f>G316</f>
        <v>265488</v>
      </c>
      <c r="H315" s="250">
        <f>H316</f>
        <v>265488</v>
      </c>
    </row>
    <row r="316" spans="1:8" ht="51">
      <c r="A316" s="251" t="s">
        <v>496</v>
      </c>
      <c r="B316" s="251"/>
      <c r="C316" s="248" t="s">
        <v>559</v>
      </c>
      <c r="D316" s="248" t="s">
        <v>103</v>
      </c>
      <c r="E316" s="249" t="s">
        <v>132</v>
      </c>
      <c r="F316" s="248" t="s">
        <v>89</v>
      </c>
      <c r="G316" s="250">
        <f>SUM(G317:G318)</f>
        <v>265488</v>
      </c>
      <c r="H316" s="250">
        <f>SUM(H317:H318)</f>
        <v>265488</v>
      </c>
    </row>
    <row r="317" spans="1:8" ht="38.25">
      <c r="A317" s="13" t="s">
        <v>232</v>
      </c>
      <c r="B317" s="13"/>
      <c r="C317" s="248" t="s">
        <v>559</v>
      </c>
      <c r="D317" s="248" t="s">
        <v>103</v>
      </c>
      <c r="E317" s="249" t="s">
        <v>132</v>
      </c>
      <c r="F317" s="248">
        <v>200</v>
      </c>
      <c r="G317" s="247">
        <v>2000</v>
      </c>
      <c r="H317" s="247">
        <v>2000</v>
      </c>
    </row>
    <row r="318" spans="1:8" ht="25.5">
      <c r="A318" s="13" t="s">
        <v>83</v>
      </c>
      <c r="B318" s="13"/>
      <c r="C318" s="248" t="s">
        <v>559</v>
      </c>
      <c r="D318" s="248" t="s">
        <v>103</v>
      </c>
      <c r="E318" s="249" t="s">
        <v>132</v>
      </c>
      <c r="F318" s="248">
        <v>300</v>
      </c>
      <c r="G318" s="247">
        <v>263488</v>
      </c>
      <c r="H318" s="247">
        <v>263488</v>
      </c>
    </row>
    <row r="319" spans="1:8" ht="12.75">
      <c r="A319" s="269" t="s">
        <v>573</v>
      </c>
      <c r="B319" s="269"/>
      <c r="C319" s="268" t="s">
        <v>559</v>
      </c>
      <c r="D319" s="268" t="s">
        <v>538</v>
      </c>
      <c r="E319" s="268" t="s">
        <v>89</v>
      </c>
      <c r="F319" s="268" t="s">
        <v>89</v>
      </c>
      <c r="G319" s="250">
        <f>G320</f>
        <v>53311450</v>
      </c>
      <c r="H319" s="250">
        <f>H320</f>
        <v>56365924</v>
      </c>
    </row>
    <row r="320" spans="1:8" ht="38.25">
      <c r="A320" s="266" t="s">
        <v>166</v>
      </c>
      <c r="B320" s="266"/>
      <c r="C320" s="248" t="s">
        <v>559</v>
      </c>
      <c r="D320" s="248" t="s">
        <v>538</v>
      </c>
      <c r="E320" s="249" t="s">
        <v>227</v>
      </c>
      <c r="F320" s="248"/>
      <c r="G320" s="250">
        <f>G321</f>
        <v>53311450</v>
      </c>
      <c r="H320" s="250">
        <f>H321</f>
        <v>56365924</v>
      </c>
    </row>
    <row r="321" spans="1:8" ht="89.25">
      <c r="A321" s="12" t="s">
        <v>244</v>
      </c>
      <c r="B321" s="12"/>
      <c r="C321" s="248" t="s">
        <v>559</v>
      </c>
      <c r="D321" s="248" t="s">
        <v>538</v>
      </c>
      <c r="E321" s="252" t="s">
        <v>7</v>
      </c>
      <c r="F321" s="251" t="s">
        <v>89</v>
      </c>
      <c r="G321" s="250">
        <f>G322+G329</f>
        <v>53311450</v>
      </c>
      <c r="H321" s="250">
        <f>H322+H329</f>
        <v>56365924</v>
      </c>
    </row>
    <row r="322" spans="1:8" ht="63.75">
      <c r="A322" s="29" t="s">
        <v>762</v>
      </c>
      <c r="B322" s="29"/>
      <c r="C322" s="248" t="s">
        <v>559</v>
      </c>
      <c r="D322" s="248" t="s">
        <v>538</v>
      </c>
      <c r="E322" s="248" t="s">
        <v>126</v>
      </c>
      <c r="F322" s="248"/>
      <c r="G322" s="250">
        <f>G323+G325+G327</f>
        <v>47192196</v>
      </c>
      <c r="H322" s="250">
        <f>H323+H325+H327</f>
        <v>50039667</v>
      </c>
    </row>
    <row r="323" spans="1:8" ht="12.75">
      <c r="A323" s="28" t="s">
        <v>560</v>
      </c>
      <c r="B323" s="28"/>
      <c r="C323" s="248" t="s">
        <v>559</v>
      </c>
      <c r="D323" s="248" t="s">
        <v>538</v>
      </c>
      <c r="E323" s="249" t="s">
        <v>763</v>
      </c>
      <c r="F323" s="248"/>
      <c r="G323" s="250">
        <f>G324</f>
        <v>1707915</v>
      </c>
      <c r="H323" s="250">
        <f>H324</f>
        <v>1707915</v>
      </c>
    </row>
    <row r="324" spans="1:8" ht="25.5">
      <c r="A324" s="13" t="s">
        <v>83</v>
      </c>
      <c r="B324" s="13"/>
      <c r="C324" s="248" t="s">
        <v>559</v>
      </c>
      <c r="D324" s="248" t="s">
        <v>538</v>
      </c>
      <c r="E324" s="249" t="s">
        <v>763</v>
      </c>
      <c r="F324" s="248">
        <v>300</v>
      </c>
      <c r="G324" s="247">
        <v>1707915</v>
      </c>
      <c r="H324" s="247">
        <v>1707915</v>
      </c>
    </row>
    <row r="325" spans="1:8" ht="38.25">
      <c r="A325" s="398" t="s">
        <v>515</v>
      </c>
      <c r="B325" s="13"/>
      <c r="C325" s="248" t="s">
        <v>559</v>
      </c>
      <c r="D325" s="248" t="s">
        <v>538</v>
      </c>
      <c r="E325" s="249" t="s">
        <v>516</v>
      </c>
      <c r="F325" s="248"/>
      <c r="G325" s="247">
        <f>G326</f>
        <v>44608300</v>
      </c>
      <c r="H325" s="247">
        <f>H326</f>
        <v>47416182</v>
      </c>
    </row>
    <row r="326" spans="1:8" ht="25.5">
      <c r="A326" s="13" t="s">
        <v>83</v>
      </c>
      <c r="B326" s="13"/>
      <c r="C326" s="248" t="s">
        <v>559</v>
      </c>
      <c r="D326" s="248" t="s">
        <v>538</v>
      </c>
      <c r="E326" s="249" t="s">
        <v>516</v>
      </c>
      <c r="F326" s="248">
        <v>300</v>
      </c>
      <c r="G326" s="247">
        <v>44608300</v>
      </c>
      <c r="H326" s="247">
        <v>47416182</v>
      </c>
    </row>
    <row r="327" spans="1:8" ht="51">
      <c r="A327" s="398" t="s">
        <v>517</v>
      </c>
      <c r="B327" s="13"/>
      <c r="C327" s="248" t="s">
        <v>559</v>
      </c>
      <c r="D327" s="248" t="s">
        <v>538</v>
      </c>
      <c r="E327" s="249" t="s">
        <v>518</v>
      </c>
      <c r="F327" s="248"/>
      <c r="G327" s="247">
        <f>G328</f>
        <v>875981</v>
      </c>
      <c r="H327" s="247">
        <f>H328</f>
        <v>915570</v>
      </c>
    </row>
    <row r="328" spans="1:8" ht="38.25">
      <c r="A328" s="13" t="s">
        <v>232</v>
      </c>
      <c r="B328" s="13"/>
      <c r="C328" s="248" t="s">
        <v>559</v>
      </c>
      <c r="D328" s="248" t="s">
        <v>538</v>
      </c>
      <c r="E328" s="249" t="s">
        <v>518</v>
      </c>
      <c r="F328" s="248">
        <v>200</v>
      </c>
      <c r="G328" s="247">
        <v>875981</v>
      </c>
      <c r="H328" s="247">
        <v>915570</v>
      </c>
    </row>
    <row r="329" spans="1:8" ht="76.5">
      <c r="A329" s="29" t="s">
        <v>127</v>
      </c>
      <c r="B329" s="29"/>
      <c r="C329" s="248" t="s">
        <v>559</v>
      </c>
      <c r="D329" s="248" t="s">
        <v>538</v>
      </c>
      <c r="E329" s="252" t="s">
        <v>764</v>
      </c>
      <c r="F329" s="251"/>
      <c r="G329" s="250">
        <f>G330</f>
        <v>6119254</v>
      </c>
      <c r="H329" s="250">
        <f>H330</f>
        <v>6326257</v>
      </c>
    </row>
    <row r="330" spans="1:8" ht="51">
      <c r="A330" s="251" t="s">
        <v>596</v>
      </c>
      <c r="B330" s="251"/>
      <c r="C330" s="248" t="s">
        <v>559</v>
      </c>
      <c r="D330" s="248" t="s">
        <v>538</v>
      </c>
      <c r="E330" s="249" t="s">
        <v>765</v>
      </c>
      <c r="F330" s="248" t="s">
        <v>89</v>
      </c>
      <c r="G330" s="250">
        <f>SUM(G331:G331)</f>
        <v>6119254</v>
      </c>
      <c r="H330" s="250">
        <f>SUM(H331:H331)</f>
        <v>6326257</v>
      </c>
    </row>
    <row r="331" spans="1:8" ht="25.5">
      <c r="A331" s="13" t="s">
        <v>83</v>
      </c>
      <c r="B331" s="13"/>
      <c r="C331" s="248" t="s">
        <v>559</v>
      </c>
      <c r="D331" s="248" t="s">
        <v>538</v>
      </c>
      <c r="E331" s="249" t="s">
        <v>765</v>
      </c>
      <c r="F331" s="248">
        <v>300</v>
      </c>
      <c r="G331" s="247">
        <v>6119254</v>
      </c>
      <c r="H331" s="247">
        <v>6326257</v>
      </c>
    </row>
    <row r="332" spans="1:8" ht="25.5">
      <c r="A332" s="269" t="s">
        <v>578</v>
      </c>
      <c r="B332" s="269"/>
      <c r="C332" s="268" t="s">
        <v>559</v>
      </c>
      <c r="D332" s="268" t="s">
        <v>539</v>
      </c>
      <c r="E332" s="268" t="s">
        <v>89</v>
      </c>
      <c r="F332" s="268" t="s">
        <v>89</v>
      </c>
      <c r="G332" s="250">
        <f aca="true" t="shared" si="26" ref="G332:H334">G333</f>
        <v>4441800</v>
      </c>
      <c r="H332" s="250">
        <f t="shared" si="26"/>
        <v>4441800</v>
      </c>
    </row>
    <row r="333" spans="1:8" ht="38.25">
      <c r="A333" s="266" t="s">
        <v>166</v>
      </c>
      <c r="B333" s="266"/>
      <c r="C333" s="248" t="s">
        <v>559</v>
      </c>
      <c r="D333" s="248" t="s">
        <v>539</v>
      </c>
      <c r="E333" s="249" t="s">
        <v>227</v>
      </c>
      <c r="F333" s="248" t="s">
        <v>89</v>
      </c>
      <c r="G333" s="250">
        <f>G334+G344</f>
        <v>4441800</v>
      </c>
      <c r="H333" s="250">
        <f>H334+H344</f>
        <v>4441800</v>
      </c>
    </row>
    <row r="334" spans="1:8" ht="76.5">
      <c r="A334" s="12" t="s">
        <v>384</v>
      </c>
      <c r="B334" s="12"/>
      <c r="C334" s="248" t="s">
        <v>559</v>
      </c>
      <c r="D334" s="248" t="s">
        <v>539</v>
      </c>
      <c r="E334" s="252" t="s">
        <v>6</v>
      </c>
      <c r="F334" s="251" t="s">
        <v>89</v>
      </c>
      <c r="G334" s="250">
        <f t="shared" si="26"/>
        <v>3437700</v>
      </c>
      <c r="H334" s="250">
        <f t="shared" si="26"/>
        <v>3437700</v>
      </c>
    </row>
    <row r="335" spans="1:8" ht="63.75">
      <c r="A335" s="32" t="s">
        <v>766</v>
      </c>
      <c r="B335" s="32"/>
      <c r="C335" s="248" t="s">
        <v>559</v>
      </c>
      <c r="D335" s="248" t="s">
        <v>539</v>
      </c>
      <c r="E335" s="252" t="s">
        <v>767</v>
      </c>
      <c r="F335" s="251"/>
      <c r="G335" s="250">
        <f>G336+G340</f>
        <v>3437700</v>
      </c>
      <c r="H335" s="250">
        <f>H336+H340</f>
        <v>3437700</v>
      </c>
    </row>
    <row r="336" spans="1:8" ht="51">
      <c r="A336" s="251" t="s">
        <v>394</v>
      </c>
      <c r="B336" s="251"/>
      <c r="C336" s="248" t="s">
        <v>559</v>
      </c>
      <c r="D336" s="248" t="s">
        <v>539</v>
      </c>
      <c r="E336" s="252" t="s">
        <v>768</v>
      </c>
      <c r="F336" s="248" t="s">
        <v>89</v>
      </c>
      <c r="G336" s="250">
        <f>SUM(G337:G339)</f>
        <v>2342900</v>
      </c>
      <c r="H336" s="250">
        <f>SUM(H337:H339)</f>
        <v>2342900</v>
      </c>
    </row>
    <row r="337" spans="1:8" ht="89.25">
      <c r="A337" s="13" t="s">
        <v>740</v>
      </c>
      <c r="B337" s="13"/>
      <c r="C337" s="248" t="s">
        <v>559</v>
      </c>
      <c r="D337" s="248" t="s">
        <v>539</v>
      </c>
      <c r="E337" s="252" t="s">
        <v>768</v>
      </c>
      <c r="F337" s="248">
        <v>100</v>
      </c>
      <c r="G337" s="247">
        <v>2232400</v>
      </c>
      <c r="H337" s="247">
        <v>2232400</v>
      </c>
    </row>
    <row r="338" spans="1:8" ht="38.25">
      <c r="A338" s="13" t="s">
        <v>232</v>
      </c>
      <c r="B338" s="13"/>
      <c r="C338" s="248" t="s">
        <v>559</v>
      </c>
      <c r="D338" s="248" t="s">
        <v>539</v>
      </c>
      <c r="E338" s="252" t="s">
        <v>768</v>
      </c>
      <c r="F338" s="251">
        <v>200</v>
      </c>
      <c r="G338" s="247">
        <v>110000</v>
      </c>
      <c r="H338" s="247">
        <v>110000</v>
      </c>
    </row>
    <row r="339" spans="1:8" ht="12.75">
      <c r="A339" s="13" t="s">
        <v>79</v>
      </c>
      <c r="B339" s="13"/>
      <c r="C339" s="248" t="s">
        <v>559</v>
      </c>
      <c r="D339" s="248" t="s">
        <v>539</v>
      </c>
      <c r="E339" s="252" t="s">
        <v>768</v>
      </c>
      <c r="F339" s="251">
        <v>800</v>
      </c>
      <c r="G339" s="247">
        <v>500</v>
      </c>
      <c r="H339" s="247">
        <v>500</v>
      </c>
    </row>
    <row r="340" spans="1:8" ht="89.25">
      <c r="A340" s="203" t="s">
        <v>715</v>
      </c>
      <c r="B340" s="13"/>
      <c r="C340" s="248" t="s">
        <v>559</v>
      </c>
      <c r="D340" s="248" t="s">
        <v>539</v>
      </c>
      <c r="E340" s="249" t="s">
        <v>337</v>
      </c>
      <c r="F340" s="251"/>
      <c r="G340" s="247">
        <f>G341+G342+G343</f>
        <v>1094800</v>
      </c>
      <c r="H340" s="247">
        <f>H341+H342+H343</f>
        <v>1094800</v>
      </c>
    </row>
    <row r="341" spans="1:8" ht="89.25">
      <c r="A341" s="13" t="s">
        <v>740</v>
      </c>
      <c r="B341" s="13"/>
      <c r="C341" s="248" t="s">
        <v>559</v>
      </c>
      <c r="D341" s="248" t="s">
        <v>539</v>
      </c>
      <c r="E341" s="249" t="s">
        <v>337</v>
      </c>
      <c r="F341" s="251">
        <v>100</v>
      </c>
      <c r="G341" s="247">
        <v>982100</v>
      </c>
      <c r="H341" s="247">
        <v>982100</v>
      </c>
    </row>
    <row r="342" spans="1:8" ht="38.25">
      <c r="A342" s="13" t="s">
        <v>232</v>
      </c>
      <c r="B342" s="13"/>
      <c r="C342" s="248" t="s">
        <v>559</v>
      </c>
      <c r="D342" s="248" t="s">
        <v>539</v>
      </c>
      <c r="E342" s="249" t="s">
        <v>337</v>
      </c>
      <c r="F342" s="251">
        <v>200</v>
      </c>
      <c r="G342" s="247">
        <v>112200</v>
      </c>
      <c r="H342" s="247">
        <v>112200</v>
      </c>
    </row>
    <row r="343" spans="1:8" ht="12.75">
      <c r="A343" s="246" t="s">
        <v>79</v>
      </c>
      <c r="B343" s="246"/>
      <c r="C343" s="244" t="s">
        <v>559</v>
      </c>
      <c r="D343" s="244" t="s">
        <v>539</v>
      </c>
      <c r="E343" s="245" t="s">
        <v>337</v>
      </c>
      <c r="F343" s="272">
        <v>800</v>
      </c>
      <c r="G343" s="243">
        <v>500</v>
      </c>
      <c r="H343" s="243">
        <v>500</v>
      </c>
    </row>
    <row r="344" spans="1:8" ht="89.25">
      <c r="A344" s="12" t="s">
        <v>176</v>
      </c>
      <c r="B344" s="12"/>
      <c r="C344" s="248" t="s">
        <v>559</v>
      </c>
      <c r="D344" s="248" t="s">
        <v>539</v>
      </c>
      <c r="E344" s="248" t="s">
        <v>7</v>
      </c>
      <c r="F344" s="251" t="s">
        <v>89</v>
      </c>
      <c r="G344" s="250">
        <f>G345</f>
        <v>1004100</v>
      </c>
      <c r="H344" s="250">
        <f>H345</f>
        <v>1004100</v>
      </c>
    </row>
    <row r="345" spans="1:8" ht="63.75">
      <c r="A345" s="13" t="s">
        <v>593</v>
      </c>
      <c r="B345" s="13"/>
      <c r="C345" s="248" t="s">
        <v>559</v>
      </c>
      <c r="D345" s="248" t="s">
        <v>539</v>
      </c>
      <c r="E345" s="248" t="s">
        <v>600</v>
      </c>
      <c r="F345" s="251"/>
      <c r="G345" s="250">
        <f>G346</f>
        <v>1004100</v>
      </c>
      <c r="H345" s="250">
        <f>H346</f>
        <v>1004100</v>
      </c>
    </row>
    <row r="346" spans="1:8" ht="76.5">
      <c r="A346" s="251" t="s">
        <v>286</v>
      </c>
      <c r="B346" s="251"/>
      <c r="C346" s="248" t="s">
        <v>559</v>
      </c>
      <c r="D346" s="248" t="s">
        <v>539</v>
      </c>
      <c r="E346" s="249" t="s">
        <v>456</v>
      </c>
      <c r="F346" s="248"/>
      <c r="G346" s="250">
        <f>SUM(G347:G348)</f>
        <v>1004100</v>
      </c>
      <c r="H346" s="250">
        <f>SUM(H347:H348)</f>
        <v>1004100</v>
      </c>
    </row>
    <row r="347" spans="1:8" ht="89.25">
      <c r="A347" s="13" t="s">
        <v>740</v>
      </c>
      <c r="B347" s="13"/>
      <c r="C347" s="248" t="s">
        <v>559</v>
      </c>
      <c r="D347" s="248" t="s">
        <v>539</v>
      </c>
      <c r="E347" s="249" t="s">
        <v>456</v>
      </c>
      <c r="F347" s="248">
        <v>100</v>
      </c>
      <c r="G347" s="247">
        <v>967900</v>
      </c>
      <c r="H347" s="247">
        <v>967900</v>
      </c>
    </row>
    <row r="348" spans="1:8" ht="38.25">
      <c r="A348" s="246" t="s">
        <v>232</v>
      </c>
      <c r="B348" s="246"/>
      <c r="C348" s="248" t="s">
        <v>559</v>
      </c>
      <c r="D348" s="248" t="s">
        <v>539</v>
      </c>
      <c r="E348" s="245" t="s">
        <v>456</v>
      </c>
      <c r="F348" s="244" t="s">
        <v>76</v>
      </c>
      <c r="G348" s="243">
        <v>36200</v>
      </c>
      <c r="H348" s="243">
        <v>36200</v>
      </c>
    </row>
    <row r="349" spans="1:8" ht="25.5">
      <c r="A349" s="226" t="s">
        <v>77</v>
      </c>
      <c r="B349" s="226"/>
      <c r="C349" s="224" t="s">
        <v>102</v>
      </c>
      <c r="D349" s="271" t="s">
        <v>466</v>
      </c>
      <c r="E349" s="224" t="s">
        <v>89</v>
      </c>
      <c r="F349" s="224" t="s">
        <v>89</v>
      </c>
      <c r="G349" s="270">
        <f aca="true" t="shared" si="27" ref="G349:H354">G350</f>
        <v>55000</v>
      </c>
      <c r="H349" s="270">
        <f t="shared" si="27"/>
        <v>51628</v>
      </c>
    </row>
    <row r="350" spans="1:8" ht="38.25">
      <c r="A350" s="269" t="s">
        <v>78</v>
      </c>
      <c r="B350" s="269"/>
      <c r="C350" s="268" t="s">
        <v>102</v>
      </c>
      <c r="D350" s="268" t="s">
        <v>535</v>
      </c>
      <c r="E350" s="267" t="s">
        <v>89</v>
      </c>
      <c r="F350" s="267" t="s">
        <v>89</v>
      </c>
      <c r="G350" s="250">
        <f t="shared" si="27"/>
        <v>55000</v>
      </c>
      <c r="H350" s="250">
        <f t="shared" si="27"/>
        <v>51628</v>
      </c>
    </row>
    <row r="351" spans="1:8" ht="38.25">
      <c r="A351" s="266" t="s">
        <v>175</v>
      </c>
      <c r="B351" s="266"/>
      <c r="C351" s="248" t="s">
        <v>102</v>
      </c>
      <c r="D351" s="248" t="s">
        <v>535</v>
      </c>
      <c r="E351" s="249" t="s">
        <v>698</v>
      </c>
      <c r="F351" s="264" t="s">
        <v>89</v>
      </c>
      <c r="G351" s="250">
        <f t="shared" si="27"/>
        <v>55000</v>
      </c>
      <c r="H351" s="250">
        <f t="shared" si="27"/>
        <v>51628</v>
      </c>
    </row>
    <row r="352" spans="1:8" ht="76.5">
      <c r="A352" s="12" t="s">
        <v>395</v>
      </c>
      <c r="B352" s="12"/>
      <c r="C352" s="248" t="s">
        <v>102</v>
      </c>
      <c r="D352" s="248" t="s">
        <v>535</v>
      </c>
      <c r="E352" s="249" t="s">
        <v>121</v>
      </c>
      <c r="F352" s="265" t="s">
        <v>89</v>
      </c>
      <c r="G352" s="250">
        <f t="shared" si="27"/>
        <v>55000</v>
      </c>
      <c r="H352" s="250">
        <f t="shared" si="27"/>
        <v>51628</v>
      </c>
    </row>
    <row r="353" spans="1:8" ht="76.5">
      <c r="A353" s="28" t="s">
        <v>120</v>
      </c>
      <c r="B353" s="28"/>
      <c r="C353" s="248" t="s">
        <v>102</v>
      </c>
      <c r="D353" s="248" t="s">
        <v>535</v>
      </c>
      <c r="E353" s="249" t="s">
        <v>122</v>
      </c>
      <c r="F353" s="265"/>
      <c r="G353" s="250">
        <f t="shared" si="27"/>
        <v>55000</v>
      </c>
      <c r="H353" s="250">
        <f t="shared" si="27"/>
        <v>51628</v>
      </c>
    </row>
    <row r="354" spans="1:8" ht="25.5">
      <c r="A354" s="33" t="s">
        <v>123</v>
      </c>
      <c r="B354" s="33"/>
      <c r="C354" s="248" t="s">
        <v>102</v>
      </c>
      <c r="D354" s="248" t="s">
        <v>535</v>
      </c>
      <c r="E354" s="249" t="s">
        <v>124</v>
      </c>
      <c r="F354" s="264" t="s">
        <v>89</v>
      </c>
      <c r="G354" s="250">
        <f t="shared" si="27"/>
        <v>55000</v>
      </c>
      <c r="H354" s="250">
        <f t="shared" si="27"/>
        <v>51628</v>
      </c>
    </row>
    <row r="355" spans="1:8" ht="25.5">
      <c r="A355" s="246" t="s">
        <v>497</v>
      </c>
      <c r="B355" s="246"/>
      <c r="C355" s="244" t="s">
        <v>102</v>
      </c>
      <c r="D355" s="244" t="s">
        <v>535</v>
      </c>
      <c r="E355" s="245" t="s">
        <v>124</v>
      </c>
      <c r="F355" s="244" t="s">
        <v>84</v>
      </c>
      <c r="G355" s="243">
        <v>55000</v>
      </c>
      <c r="H355" s="243">
        <v>51628</v>
      </c>
    </row>
    <row r="356" spans="1:8" ht="25.5">
      <c r="A356" s="263" t="s">
        <v>551</v>
      </c>
      <c r="B356" s="262" t="s">
        <v>550</v>
      </c>
      <c r="C356" s="406"/>
      <c r="D356" s="406"/>
      <c r="E356" s="407"/>
      <c r="F356" s="259"/>
      <c r="G356" s="258">
        <f>G357</f>
        <v>1025105</v>
      </c>
      <c r="H356" s="258">
        <f>H357</f>
        <v>962255</v>
      </c>
    </row>
    <row r="357" spans="1:8" ht="38.25">
      <c r="A357" s="257" t="s">
        <v>173</v>
      </c>
      <c r="B357" s="257"/>
      <c r="C357" s="256" t="s">
        <v>535</v>
      </c>
      <c r="D357" s="256" t="s">
        <v>539</v>
      </c>
      <c r="E357" s="255" t="s">
        <v>701</v>
      </c>
      <c r="F357" s="254" t="s">
        <v>89</v>
      </c>
      <c r="G357" s="253">
        <f>G358+G361</f>
        <v>1025105</v>
      </c>
      <c r="H357" s="253">
        <f>H358+H361</f>
        <v>962255</v>
      </c>
    </row>
    <row r="358" spans="1:8" ht="38.25">
      <c r="A358" s="12" t="s">
        <v>174</v>
      </c>
      <c r="B358" s="12"/>
      <c r="C358" s="248" t="s">
        <v>535</v>
      </c>
      <c r="D358" s="248" t="s">
        <v>539</v>
      </c>
      <c r="E358" s="252" t="s">
        <v>702</v>
      </c>
      <c r="F358" s="248" t="s">
        <v>89</v>
      </c>
      <c r="G358" s="250">
        <f>G359</f>
        <v>664065</v>
      </c>
      <c r="H358" s="250">
        <f>H359</f>
        <v>623557</v>
      </c>
    </row>
    <row r="359" spans="1:8" ht="38.25">
      <c r="A359" s="251" t="s">
        <v>736</v>
      </c>
      <c r="B359" s="251"/>
      <c r="C359" s="248" t="s">
        <v>535</v>
      </c>
      <c r="D359" s="248" t="s">
        <v>539</v>
      </c>
      <c r="E359" s="249" t="s">
        <v>703</v>
      </c>
      <c r="F359" s="248"/>
      <c r="G359" s="250">
        <f>SUM(G360:G360)</f>
        <v>664065</v>
      </c>
      <c r="H359" s="250">
        <f>SUM(H360:H360)</f>
        <v>623557</v>
      </c>
    </row>
    <row r="360" spans="1:8" ht="89.25">
      <c r="A360" s="13" t="s">
        <v>740</v>
      </c>
      <c r="B360" s="13"/>
      <c r="C360" s="248" t="s">
        <v>535</v>
      </c>
      <c r="D360" s="248" t="s">
        <v>539</v>
      </c>
      <c r="E360" s="249" t="s">
        <v>703</v>
      </c>
      <c r="F360" s="248">
        <v>100</v>
      </c>
      <c r="G360" s="250">
        <v>664065</v>
      </c>
      <c r="H360" s="250">
        <v>623557</v>
      </c>
    </row>
    <row r="361" spans="1:8" ht="25.5">
      <c r="A361" s="13" t="s">
        <v>42</v>
      </c>
      <c r="B361" s="13"/>
      <c r="C361" s="248" t="s">
        <v>535</v>
      </c>
      <c r="D361" s="248" t="s">
        <v>539</v>
      </c>
      <c r="E361" s="252" t="s">
        <v>41</v>
      </c>
      <c r="F361" s="248"/>
      <c r="G361" s="250">
        <f>G362</f>
        <v>361040</v>
      </c>
      <c r="H361" s="250">
        <f>H362</f>
        <v>338698</v>
      </c>
    </row>
    <row r="362" spans="1:8" ht="38.25">
      <c r="A362" s="251" t="s">
        <v>736</v>
      </c>
      <c r="B362" s="251"/>
      <c r="C362" s="248" t="s">
        <v>535</v>
      </c>
      <c r="D362" s="248" t="s">
        <v>539</v>
      </c>
      <c r="E362" s="249" t="s">
        <v>40</v>
      </c>
      <c r="F362" s="248"/>
      <c r="G362" s="250">
        <f>SUM(G363:G364)</f>
        <v>361040</v>
      </c>
      <c r="H362" s="250">
        <f>SUM(H363:H364)</f>
        <v>338698</v>
      </c>
    </row>
    <row r="363" spans="1:8" ht="89.25">
      <c r="A363" s="13" t="s">
        <v>740</v>
      </c>
      <c r="B363" s="13"/>
      <c r="C363" s="248" t="s">
        <v>535</v>
      </c>
      <c r="D363" s="248" t="s">
        <v>539</v>
      </c>
      <c r="E363" s="249" t="s">
        <v>40</v>
      </c>
      <c r="F363" s="248">
        <v>100</v>
      </c>
      <c r="G363" s="247">
        <v>361040</v>
      </c>
      <c r="H363" s="247">
        <v>338698</v>
      </c>
    </row>
    <row r="364" spans="1:8" ht="38.25">
      <c r="A364" s="246" t="s">
        <v>232</v>
      </c>
      <c r="B364" s="246"/>
      <c r="C364" s="244" t="s">
        <v>535</v>
      </c>
      <c r="D364" s="244" t="s">
        <v>539</v>
      </c>
      <c r="E364" s="245" t="s">
        <v>40</v>
      </c>
      <c r="F364" s="244">
        <v>200</v>
      </c>
      <c r="G364" s="243"/>
      <c r="H364" s="243"/>
    </row>
    <row r="365" spans="1:8" ht="12.75">
      <c r="A365" s="408" t="s">
        <v>769</v>
      </c>
      <c r="B365" s="409"/>
      <c r="C365" s="228"/>
      <c r="D365" s="228"/>
      <c r="E365" s="410"/>
      <c r="F365" s="228"/>
      <c r="G365" s="411">
        <v>4301916</v>
      </c>
      <c r="H365" s="411">
        <v>9468328</v>
      </c>
    </row>
  </sheetData>
  <sheetProtection/>
  <mergeCells count="1">
    <mergeCell ref="A3:H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9900"/>
  </sheetPr>
  <dimension ref="A1:G340"/>
  <sheetViews>
    <sheetView showGridLines="0" zoomScaleSheetLayoutView="100" zoomScalePageLayoutView="0" workbookViewId="0" topLeftCell="A323">
      <selection activeCell="A306" sqref="A306:IV319"/>
    </sheetView>
  </sheetViews>
  <sheetFormatPr defaultColWidth="9.140625" defaultRowHeight="12.75"/>
  <cols>
    <col min="1" max="1" width="59.28125" style="184" customWidth="1"/>
    <col min="2" max="2" width="13.421875" style="184" bestFit="1" customWidth="1"/>
    <col min="3" max="3" width="4.57421875" style="184" customWidth="1"/>
    <col min="4" max="4" width="14.00390625" style="184" customWidth="1"/>
    <col min="5" max="5" width="12.7109375" style="327" customWidth="1"/>
    <col min="6" max="6" width="11.421875" style="328" customWidth="1"/>
    <col min="7" max="7" width="9.140625" style="327" customWidth="1"/>
    <col min="8" max="16384" width="9.140625" style="184" customWidth="1"/>
  </cols>
  <sheetData>
    <row r="1" spans="1:4" ht="12.75">
      <c r="A1" s="240"/>
      <c r="B1" s="238"/>
      <c r="C1" s="238"/>
      <c r="D1" s="358" t="s">
        <v>542</v>
      </c>
    </row>
    <row r="2" spans="1:4" ht="12.75">
      <c r="A2" s="240"/>
      <c r="B2" s="238"/>
      <c r="C2" s="238"/>
      <c r="D2" s="59" t="s">
        <v>267</v>
      </c>
    </row>
    <row r="3" spans="1:4" ht="12.75">
      <c r="A3" s="501" t="s">
        <v>944</v>
      </c>
      <c r="B3" s="501"/>
      <c r="C3" s="501"/>
      <c r="D3" s="501"/>
    </row>
    <row r="4" spans="1:4" ht="12.75">
      <c r="A4" s="239"/>
      <c r="B4" s="238"/>
      <c r="C4" s="238"/>
      <c r="D4" s="357"/>
    </row>
    <row r="5" spans="1:4" ht="38.25">
      <c r="A5" s="237" t="s">
        <v>938</v>
      </c>
      <c r="B5" s="237"/>
      <c r="C5" s="237"/>
      <c r="D5" s="237"/>
    </row>
    <row r="6" spans="1:4" ht="12.75">
      <c r="A6" s="235"/>
      <c r="B6" s="235"/>
      <c r="C6" s="235"/>
      <c r="D6" s="235" t="s">
        <v>90</v>
      </c>
    </row>
    <row r="7" spans="1:4" ht="12.75">
      <c r="A7" s="233" t="s">
        <v>86</v>
      </c>
      <c r="B7" s="233" t="s">
        <v>530</v>
      </c>
      <c r="C7" s="233" t="s">
        <v>531</v>
      </c>
      <c r="D7" s="233" t="s">
        <v>294</v>
      </c>
    </row>
    <row r="8" spans="1:6" ht="12.75">
      <c r="A8" s="356" t="s">
        <v>74</v>
      </c>
      <c r="B8" s="356">
        <v>2</v>
      </c>
      <c r="C8" s="356">
        <v>3</v>
      </c>
      <c r="D8" s="356">
        <v>4</v>
      </c>
      <c r="E8" s="185"/>
      <c r="F8" s="185"/>
    </row>
    <row r="9" spans="1:7" ht="12.75">
      <c r="A9" s="229" t="s">
        <v>91</v>
      </c>
      <c r="B9" s="228" t="s">
        <v>89</v>
      </c>
      <c r="C9" s="228" t="s">
        <v>89</v>
      </c>
      <c r="D9" s="227">
        <f>D10+D25+D73+D142+D148+D172+D190+D212+D222+D234+D245+D249+D259+D267+D272+D276+D285+D293+D299+D335</f>
        <v>540467169.06</v>
      </c>
      <c r="E9" s="184"/>
      <c r="F9" s="242"/>
      <c r="G9" s="355"/>
    </row>
    <row r="10" spans="1:6" ht="25.5">
      <c r="A10" s="354" t="s">
        <v>15</v>
      </c>
      <c r="B10" s="353" t="s">
        <v>319</v>
      </c>
      <c r="C10" s="352" t="s">
        <v>89</v>
      </c>
      <c r="D10" s="270">
        <f>D11+D17</f>
        <v>27654283</v>
      </c>
      <c r="E10" s="184"/>
      <c r="F10" s="242"/>
    </row>
    <row r="11" spans="1:6" ht="25.5">
      <c r="A11" s="12" t="s">
        <v>591</v>
      </c>
      <c r="B11" s="249" t="s">
        <v>320</v>
      </c>
      <c r="C11" s="248" t="s">
        <v>89</v>
      </c>
      <c r="D11" s="250">
        <f>D12</f>
        <v>5173642</v>
      </c>
      <c r="F11" s="242"/>
    </row>
    <row r="12" spans="1:6" ht="12.75">
      <c r="A12" s="29" t="s">
        <v>487</v>
      </c>
      <c r="B12" s="249" t="s">
        <v>321</v>
      </c>
      <c r="C12" s="248"/>
      <c r="D12" s="250">
        <f>D13</f>
        <v>5173642</v>
      </c>
      <c r="F12" s="242"/>
    </row>
    <row r="13" spans="1:6" ht="25.5">
      <c r="A13" s="251" t="s">
        <v>738</v>
      </c>
      <c r="B13" s="249" t="s">
        <v>322</v>
      </c>
      <c r="C13" s="248" t="s">
        <v>89</v>
      </c>
      <c r="D13" s="250">
        <f>SUM(D14:D16)</f>
        <v>5173642</v>
      </c>
      <c r="F13" s="242"/>
    </row>
    <row r="14" spans="1:6" ht="51">
      <c r="A14" s="13" t="s">
        <v>740</v>
      </c>
      <c r="B14" s="249" t="s">
        <v>322</v>
      </c>
      <c r="C14" s="248">
        <v>100</v>
      </c>
      <c r="D14" s="247">
        <v>4920154</v>
      </c>
      <c r="F14" s="242"/>
    </row>
    <row r="15" spans="1:6" ht="25.5">
      <c r="A15" s="13" t="s">
        <v>232</v>
      </c>
      <c r="B15" s="249" t="s">
        <v>322</v>
      </c>
      <c r="C15" s="248">
        <v>200</v>
      </c>
      <c r="D15" s="247">
        <v>220592</v>
      </c>
      <c r="F15" s="242"/>
    </row>
    <row r="16" spans="1:6" ht="12.75">
      <c r="A16" s="13" t="s">
        <v>79</v>
      </c>
      <c r="B16" s="249" t="s">
        <v>322</v>
      </c>
      <c r="C16" s="248">
        <v>800</v>
      </c>
      <c r="D16" s="247">
        <v>32896</v>
      </c>
      <c r="F16" s="242"/>
    </row>
    <row r="17" spans="1:6" ht="25.5">
      <c r="A17" s="12" t="s">
        <v>592</v>
      </c>
      <c r="B17" s="249" t="s">
        <v>323</v>
      </c>
      <c r="C17" s="248"/>
      <c r="D17" s="250">
        <f>D18</f>
        <v>22480641</v>
      </c>
      <c r="F17" s="242"/>
    </row>
    <row r="18" spans="1:6" ht="38.25">
      <c r="A18" s="29" t="s">
        <v>646</v>
      </c>
      <c r="B18" s="249" t="s">
        <v>324</v>
      </c>
      <c r="C18" s="248"/>
      <c r="D18" s="250">
        <f>D19+D21+D23</f>
        <v>22480641</v>
      </c>
      <c r="F18" s="242"/>
    </row>
    <row r="19" spans="1:6" ht="25.5">
      <c r="A19" s="251" t="s">
        <v>738</v>
      </c>
      <c r="B19" s="249" t="s">
        <v>325</v>
      </c>
      <c r="C19" s="248"/>
      <c r="D19" s="250">
        <f>D20</f>
        <v>22330641</v>
      </c>
      <c r="F19" s="242"/>
    </row>
    <row r="20" spans="1:6" ht="25.5">
      <c r="A20" s="13" t="s">
        <v>92</v>
      </c>
      <c r="B20" s="249" t="s">
        <v>325</v>
      </c>
      <c r="C20" s="248">
        <v>600</v>
      </c>
      <c r="D20" s="247">
        <v>22330641</v>
      </c>
      <c r="F20" s="242"/>
    </row>
    <row r="21" spans="1:6" ht="24">
      <c r="A21" s="30" t="s">
        <v>295</v>
      </c>
      <c r="B21" s="249" t="s">
        <v>274</v>
      </c>
      <c r="C21" s="248"/>
      <c r="D21" s="250">
        <f>D22</f>
        <v>150000</v>
      </c>
      <c r="F21" s="242"/>
    </row>
    <row r="22" spans="1:6" ht="24">
      <c r="A22" s="30" t="s">
        <v>93</v>
      </c>
      <c r="B22" s="249" t="s">
        <v>274</v>
      </c>
      <c r="C22" s="248">
        <v>200</v>
      </c>
      <c r="D22" s="250">
        <v>150000</v>
      </c>
      <c r="F22" s="242"/>
    </row>
    <row r="23" spans="1:6" ht="38.25" hidden="1">
      <c r="A23" s="189" t="s">
        <v>815</v>
      </c>
      <c r="B23" s="188" t="s">
        <v>814</v>
      </c>
      <c r="C23" s="193"/>
      <c r="D23" s="294">
        <f>D24</f>
        <v>0</v>
      </c>
      <c r="F23" s="242"/>
    </row>
    <row r="24" spans="1:6" ht="25.5" hidden="1">
      <c r="A24" s="203" t="s">
        <v>92</v>
      </c>
      <c r="B24" s="188" t="s">
        <v>814</v>
      </c>
      <c r="C24" s="201">
        <v>600</v>
      </c>
      <c r="D24" s="294"/>
      <c r="F24" s="242"/>
    </row>
    <row r="25" spans="1:6" ht="25.5">
      <c r="A25" s="257" t="s">
        <v>166</v>
      </c>
      <c r="B25" s="335" t="s">
        <v>227</v>
      </c>
      <c r="C25" s="224" t="s">
        <v>89</v>
      </c>
      <c r="D25" s="223">
        <f>D26+D39+D55</f>
        <v>67816274</v>
      </c>
      <c r="F25" s="242"/>
    </row>
    <row r="26" spans="1:6" ht="38.25">
      <c r="A26" s="12" t="s">
        <v>384</v>
      </c>
      <c r="B26" s="252" t="s">
        <v>6</v>
      </c>
      <c r="C26" s="248" t="s">
        <v>89</v>
      </c>
      <c r="D26" s="250">
        <f>D27+D30</f>
        <v>3437700</v>
      </c>
      <c r="F26" s="242"/>
    </row>
    <row r="27" spans="1:6" ht="38.25" hidden="1">
      <c r="A27" s="31" t="s">
        <v>454</v>
      </c>
      <c r="B27" s="252" t="s">
        <v>134</v>
      </c>
      <c r="C27" s="248"/>
      <c r="D27" s="250">
        <f>D28</f>
        <v>0</v>
      </c>
      <c r="F27" s="242"/>
    </row>
    <row r="28" spans="1:6" ht="38.25" hidden="1">
      <c r="A28" s="251" t="s">
        <v>630</v>
      </c>
      <c r="B28" s="249" t="s">
        <v>455</v>
      </c>
      <c r="C28" s="248" t="s">
        <v>89</v>
      </c>
      <c r="D28" s="250">
        <f>D29</f>
        <v>0</v>
      </c>
      <c r="F28" s="242"/>
    </row>
    <row r="29" spans="1:6" ht="25.5" hidden="1">
      <c r="A29" s="13" t="s">
        <v>92</v>
      </c>
      <c r="B29" s="249" t="s">
        <v>455</v>
      </c>
      <c r="C29" s="248" t="s">
        <v>81</v>
      </c>
      <c r="D29" s="247"/>
      <c r="F29" s="242"/>
    </row>
    <row r="30" spans="1:6" ht="38.25">
      <c r="A30" s="32" t="s">
        <v>766</v>
      </c>
      <c r="B30" s="252" t="s">
        <v>767</v>
      </c>
      <c r="C30" s="248"/>
      <c r="D30" s="250">
        <f>D31+D35</f>
        <v>3437700</v>
      </c>
      <c r="F30" s="242"/>
    </row>
    <row r="31" spans="1:6" ht="25.5">
      <c r="A31" s="251" t="s">
        <v>394</v>
      </c>
      <c r="B31" s="252" t="s">
        <v>768</v>
      </c>
      <c r="C31" s="248" t="s">
        <v>89</v>
      </c>
      <c r="D31" s="250">
        <f>SUM(D32:D34)</f>
        <v>2342900</v>
      </c>
      <c r="F31" s="242"/>
    </row>
    <row r="32" spans="1:6" ht="51">
      <c r="A32" s="13" t="s">
        <v>740</v>
      </c>
      <c r="B32" s="252" t="s">
        <v>768</v>
      </c>
      <c r="C32" s="248">
        <v>100</v>
      </c>
      <c r="D32" s="247">
        <v>2232400</v>
      </c>
      <c r="F32" s="242"/>
    </row>
    <row r="33" spans="1:6" ht="25.5">
      <c r="A33" s="13" t="s">
        <v>232</v>
      </c>
      <c r="B33" s="252" t="s">
        <v>768</v>
      </c>
      <c r="C33" s="248">
        <v>200</v>
      </c>
      <c r="D33" s="247">
        <v>110000</v>
      </c>
      <c r="F33" s="242"/>
    </row>
    <row r="34" spans="1:6" ht="12.75">
      <c r="A34" s="13" t="s">
        <v>79</v>
      </c>
      <c r="B34" s="252" t="s">
        <v>768</v>
      </c>
      <c r="C34" s="248">
        <v>800</v>
      </c>
      <c r="D34" s="247">
        <v>500</v>
      </c>
      <c r="F34" s="242"/>
    </row>
    <row r="35" spans="1:6" ht="51">
      <c r="A35" s="203" t="s">
        <v>715</v>
      </c>
      <c r="B35" s="252" t="s">
        <v>337</v>
      </c>
      <c r="C35" s="248"/>
      <c r="D35" s="247">
        <f>D36+D37+D38</f>
        <v>1094800</v>
      </c>
      <c r="F35" s="242"/>
    </row>
    <row r="36" spans="1:6" ht="51">
      <c r="A36" s="13" t="s">
        <v>740</v>
      </c>
      <c r="B36" s="252" t="s">
        <v>337</v>
      </c>
      <c r="C36" s="248">
        <v>100</v>
      </c>
      <c r="D36" s="247">
        <v>982100</v>
      </c>
      <c r="F36" s="242"/>
    </row>
    <row r="37" spans="1:6" ht="25.5">
      <c r="A37" s="13" t="s">
        <v>232</v>
      </c>
      <c r="B37" s="252" t="s">
        <v>337</v>
      </c>
      <c r="C37" s="248">
        <v>200</v>
      </c>
      <c r="D37" s="247">
        <v>112200</v>
      </c>
      <c r="F37" s="242"/>
    </row>
    <row r="38" spans="1:6" ht="12.75">
      <c r="A38" s="13" t="s">
        <v>79</v>
      </c>
      <c r="B38" s="252" t="s">
        <v>337</v>
      </c>
      <c r="C38" s="248">
        <v>800</v>
      </c>
      <c r="D38" s="247">
        <v>500</v>
      </c>
      <c r="F38" s="242"/>
    </row>
    <row r="39" spans="1:6" ht="38.25">
      <c r="A39" s="12" t="s">
        <v>167</v>
      </c>
      <c r="B39" s="252" t="s">
        <v>119</v>
      </c>
      <c r="C39" s="248" t="s">
        <v>89</v>
      </c>
      <c r="D39" s="250">
        <f>D40+D47+D51</f>
        <v>7465212</v>
      </c>
      <c r="F39" s="242"/>
    </row>
    <row r="40" spans="1:6" ht="25.5">
      <c r="A40" s="29" t="s">
        <v>647</v>
      </c>
      <c r="B40" s="252" t="s">
        <v>128</v>
      </c>
      <c r="C40" s="248"/>
      <c r="D40" s="250">
        <f>D41+D44</f>
        <v>7074641</v>
      </c>
      <c r="F40" s="242"/>
    </row>
    <row r="41" spans="1:6" ht="12.75">
      <c r="A41" s="251" t="s">
        <v>594</v>
      </c>
      <c r="B41" s="249" t="s">
        <v>648</v>
      </c>
      <c r="C41" s="248" t="s">
        <v>89</v>
      </c>
      <c r="D41" s="250">
        <f>SUM(D42:D43)</f>
        <v>6592141</v>
      </c>
      <c r="F41" s="242"/>
    </row>
    <row r="42" spans="1:6" ht="25.5">
      <c r="A42" s="13" t="s">
        <v>232</v>
      </c>
      <c r="B42" s="249" t="s">
        <v>648</v>
      </c>
      <c r="C42" s="248">
        <v>200</v>
      </c>
      <c r="D42" s="247">
        <v>71000</v>
      </c>
      <c r="F42" s="242"/>
    </row>
    <row r="43" spans="1:6" ht="12.75">
      <c r="A43" s="13" t="s">
        <v>83</v>
      </c>
      <c r="B43" s="249" t="s">
        <v>648</v>
      </c>
      <c r="C43" s="248">
        <v>300</v>
      </c>
      <c r="D43" s="247">
        <v>6521141</v>
      </c>
      <c r="F43" s="242"/>
    </row>
    <row r="44" spans="1:6" ht="12.75">
      <c r="A44" s="251" t="s">
        <v>595</v>
      </c>
      <c r="B44" s="249" t="s">
        <v>649</v>
      </c>
      <c r="C44" s="248" t="s">
        <v>89</v>
      </c>
      <c r="D44" s="250">
        <f>SUM(D45:D46)</f>
        <v>482500</v>
      </c>
      <c r="F44" s="242"/>
    </row>
    <row r="45" spans="1:6" ht="25.5">
      <c r="A45" s="13" t="s">
        <v>232</v>
      </c>
      <c r="B45" s="249" t="s">
        <v>649</v>
      </c>
      <c r="C45" s="248">
        <v>200</v>
      </c>
      <c r="D45" s="247">
        <v>9500</v>
      </c>
      <c r="F45" s="242"/>
    </row>
    <row r="46" spans="1:6" ht="12.75">
      <c r="A46" s="13" t="s">
        <v>83</v>
      </c>
      <c r="B46" s="249" t="s">
        <v>649</v>
      </c>
      <c r="C46" s="248" t="s">
        <v>82</v>
      </c>
      <c r="D46" s="247">
        <v>473000</v>
      </c>
      <c r="F46" s="242"/>
    </row>
    <row r="47" spans="1:7" ht="25.5">
      <c r="A47" s="28" t="s">
        <v>125</v>
      </c>
      <c r="B47" s="252" t="s">
        <v>129</v>
      </c>
      <c r="C47" s="268"/>
      <c r="D47" s="250">
        <f>D48</f>
        <v>125083</v>
      </c>
      <c r="E47" s="333"/>
      <c r="F47" s="242"/>
      <c r="G47" s="331"/>
    </row>
    <row r="48" spans="1:7" ht="38.25">
      <c r="A48" s="251" t="s">
        <v>266</v>
      </c>
      <c r="B48" s="249" t="s">
        <v>130</v>
      </c>
      <c r="C48" s="248" t="s">
        <v>89</v>
      </c>
      <c r="D48" s="250">
        <f>SUM(D49:D50)</f>
        <v>125083</v>
      </c>
      <c r="E48" s="330"/>
      <c r="F48" s="242"/>
      <c r="G48" s="331"/>
    </row>
    <row r="49" spans="1:7" ht="25.5">
      <c r="A49" s="13" t="s">
        <v>232</v>
      </c>
      <c r="B49" s="249" t="s">
        <v>130</v>
      </c>
      <c r="C49" s="248">
        <v>200</v>
      </c>
      <c r="D49" s="250">
        <v>1900</v>
      </c>
      <c r="E49" s="184"/>
      <c r="F49" s="242"/>
      <c r="G49" s="184"/>
    </row>
    <row r="50" spans="1:7" ht="12.75">
      <c r="A50" s="13" t="s">
        <v>83</v>
      </c>
      <c r="B50" s="249" t="s">
        <v>130</v>
      </c>
      <c r="C50" s="248" t="s">
        <v>82</v>
      </c>
      <c r="D50" s="247">
        <v>123183</v>
      </c>
      <c r="E50" s="184"/>
      <c r="F50" s="242"/>
      <c r="G50" s="184"/>
    </row>
    <row r="51" spans="1:7" ht="38.25">
      <c r="A51" s="31" t="s">
        <v>650</v>
      </c>
      <c r="B51" s="252" t="s">
        <v>131</v>
      </c>
      <c r="C51" s="268"/>
      <c r="D51" s="250">
        <f>D52</f>
        <v>265488</v>
      </c>
      <c r="E51" s="184"/>
      <c r="F51" s="242"/>
      <c r="G51" s="184"/>
    </row>
    <row r="52" spans="1:7" ht="25.5">
      <c r="A52" s="251" t="s">
        <v>496</v>
      </c>
      <c r="B52" s="249" t="s">
        <v>132</v>
      </c>
      <c r="C52" s="248" t="s">
        <v>89</v>
      </c>
      <c r="D52" s="250">
        <f>SUM(D53:D54)</f>
        <v>265488</v>
      </c>
      <c r="E52" s="184"/>
      <c r="F52" s="242"/>
      <c r="G52" s="184"/>
    </row>
    <row r="53" spans="1:7" ht="25.5">
      <c r="A53" s="13" t="s">
        <v>232</v>
      </c>
      <c r="B53" s="249" t="s">
        <v>132</v>
      </c>
      <c r="C53" s="248">
        <v>200</v>
      </c>
      <c r="D53" s="247">
        <v>2000</v>
      </c>
      <c r="E53" s="184"/>
      <c r="F53" s="242"/>
      <c r="G53" s="184"/>
    </row>
    <row r="54" spans="1:7" ht="12.75">
      <c r="A54" s="13" t="s">
        <v>83</v>
      </c>
      <c r="B54" s="249" t="s">
        <v>132</v>
      </c>
      <c r="C54" s="248">
        <v>300</v>
      </c>
      <c r="D54" s="247">
        <v>263488</v>
      </c>
      <c r="E54" s="184"/>
      <c r="F54" s="242"/>
      <c r="G54" s="184"/>
    </row>
    <row r="55" spans="1:7" ht="51">
      <c r="A55" s="12" t="s">
        <v>176</v>
      </c>
      <c r="B55" s="268" t="s">
        <v>7</v>
      </c>
      <c r="C55" s="268"/>
      <c r="D55" s="250">
        <f>D56+D63+D66+D70</f>
        <v>56913362</v>
      </c>
      <c r="E55" s="184"/>
      <c r="F55" s="242"/>
      <c r="G55" s="184"/>
    </row>
    <row r="56" spans="1:7" ht="38.25">
      <c r="A56" s="29" t="s">
        <v>762</v>
      </c>
      <c r="B56" s="268" t="s">
        <v>126</v>
      </c>
      <c r="C56" s="248"/>
      <c r="D56" s="250">
        <f>D57+D59+D61</f>
        <v>45737161</v>
      </c>
      <c r="E56" s="184"/>
      <c r="F56" s="242"/>
      <c r="G56" s="184"/>
    </row>
    <row r="57" spans="1:7" ht="12.75">
      <c r="A57" s="28" t="s">
        <v>560</v>
      </c>
      <c r="B57" s="249" t="s">
        <v>763</v>
      </c>
      <c r="C57" s="248"/>
      <c r="D57" s="250">
        <f>D58</f>
        <v>1707915</v>
      </c>
      <c r="E57" s="184"/>
      <c r="F57" s="242"/>
      <c r="G57" s="184"/>
    </row>
    <row r="58" spans="1:7" ht="12.75">
      <c r="A58" s="13" t="s">
        <v>83</v>
      </c>
      <c r="B58" s="249" t="s">
        <v>763</v>
      </c>
      <c r="C58" s="248">
        <v>300</v>
      </c>
      <c r="D58" s="247">
        <v>1707915</v>
      </c>
      <c r="E58" s="184"/>
      <c r="F58" s="242"/>
      <c r="G58" s="184"/>
    </row>
    <row r="59" spans="1:7" ht="25.5">
      <c r="A59" s="205" t="s">
        <v>515</v>
      </c>
      <c r="B59" s="249" t="s">
        <v>516</v>
      </c>
      <c r="C59" s="248"/>
      <c r="D59" s="247">
        <f>D60</f>
        <v>43186977</v>
      </c>
      <c r="E59" s="184"/>
      <c r="F59" s="242"/>
      <c r="G59" s="184"/>
    </row>
    <row r="60" spans="1:7" ht="12.75">
      <c r="A60" s="13" t="s">
        <v>83</v>
      </c>
      <c r="B60" s="249" t="s">
        <v>516</v>
      </c>
      <c r="C60" s="248">
        <v>300</v>
      </c>
      <c r="D60" s="247">
        <v>43186977</v>
      </c>
      <c r="E60" s="184"/>
      <c r="F60" s="242"/>
      <c r="G60" s="184"/>
    </row>
    <row r="61" spans="1:7" ht="25.5">
      <c r="A61" s="205" t="s">
        <v>517</v>
      </c>
      <c r="B61" s="249" t="s">
        <v>518</v>
      </c>
      <c r="C61" s="248"/>
      <c r="D61" s="247">
        <f>D62</f>
        <v>842269</v>
      </c>
      <c r="E61" s="184"/>
      <c r="F61" s="242"/>
      <c r="G61" s="184"/>
    </row>
    <row r="62" spans="1:7" ht="25.5">
      <c r="A62" s="13" t="s">
        <v>232</v>
      </c>
      <c r="B62" s="249" t="s">
        <v>518</v>
      </c>
      <c r="C62" s="248">
        <v>200</v>
      </c>
      <c r="D62" s="247">
        <v>842269</v>
      </c>
      <c r="E62" s="184"/>
      <c r="F62" s="242"/>
      <c r="G62" s="184"/>
    </row>
    <row r="63" spans="1:7" ht="38.25">
      <c r="A63" s="29" t="s">
        <v>127</v>
      </c>
      <c r="B63" s="252" t="s">
        <v>764</v>
      </c>
      <c r="C63" s="248"/>
      <c r="D63" s="250">
        <f>D64</f>
        <v>5944009</v>
      </c>
      <c r="E63" s="184"/>
      <c r="F63" s="242"/>
      <c r="G63" s="184"/>
    </row>
    <row r="64" spans="1:7" ht="25.5">
      <c r="A64" s="251" t="s">
        <v>596</v>
      </c>
      <c r="B64" s="249" t="s">
        <v>765</v>
      </c>
      <c r="C64" s="248" t="s">
        <v>89</v>
      </c>
      <c r="D64" s="250">
        <f>SUM(D65:D65)</f>
        <v>5944009</v>
      </c>
      <c r="E64" s="184"/>
      <c r="F64" s="242"/>
      <c r="G64" s="184"/>
    </row>
    <row r="65" spans="1:7" ht="12.75">
      <c r="A65" s="13" t="s">
        <v>83</v>
      </c>
      <c r="B65" s="249" t="s">
        <v>765</v>
      </c>
      <c r="C65" s="248">
        <v>300</v>
      </c>
      <c r="D65" s="247">
        <v>5944009</v>
      </c>
      <c r="E65" s="184"/>
      <c r="F65" s="242"/>
      <c r="G65" s="184"/>
    </row>
    <row r="66" spans="1:7" ht="38.25">
      <c r="A66" s="13" t="s">
        <v>593</v>
      </c>
      <c r="B66" s="268" t="s">
        <v>600</v>
      </c>
      <c r="C66" s="248"/>
      <c r="D66" s="250">
        <f>D67</f>
        <v>1004100</v>
      </c>
      <c r="E66" s="330"/>
      <c r="F66" s="242"/>
      <c r="G66" s="329"/>
    </row>
    <row r="67" spans="1:7" ht="38.25">
      <c r="A67" s="251" t="s">
        <v>286</v>
      </c>
      <c r="B67" s="249" t="s">
        <v>456</v>
      </c>
      <c r="C67" s="248"/>
      <c r="D67" s="250">
        <f>SUM(D68:D69)</f>
        <v>1004100</v>
      </c>
      <c r="E67" s="330"/>
      <c r="F67" s="242"/>
      <c r="G67" s="329"/>
    </row>
    <row r="68" spans="1:7" ht="51">
      <c r="A68" s="13" t="s">
        <v>740</v>
      </c>
      <c r="B68" s="249" t="s">
        <v>456</v>
      </c>
      <c r="C68" s="248">
        <v>100</v>
      </c>
      <c r="D68" s="247">
        <v>967900</v>
      </c>
      <c r="E68" s="330"/>
      <c r="F68" s="242"/>
      <c r="G68" s="329"/>
    </row>
    <row r="69" spans="1:7" ht="25.5">
      <c r="A69" s="246" t="s">
        <v>232</v>
      </c>
      <c r="B69" s="245" t="s">
        <v>456</v>
      </c>
      <c r="C69" s="244" t="s">
        <v>76</v>
      </c>
      <c r="D69" s="243">
        <v>36200</v>
      </c>
      <c r="E69" s="184"/>
      <c r="F69" s="242"/>
      <c r="G69" s="184"/>
    </row>
    <row r="70" spans="1:7" ht="25.5">
      <c r="A70" s="483" t="s">
        <v>952</v>
      </c>
      <c r="B70" s="192" t="s">
        <v>950</v>
      </c>
      <c r="C70" s="191"/>
      <c r="D70" s="202">
        <f>D71</f>
        <v>4228092</v>
      </c>
      <c r="E70" s="184"/>
      <c r="F70" s="242"/>
      <c r="G70" s="184"/>
    </row>
    <row r="71" spans="1:7" ht="38.25">
      <c r="A71" s="483" t="s">
        <v>924</v>
      </c>
      <c r="B71" s="192" t="s">
        <v>933</v>
      </c>
      <c r="C71" s="191"/>
      <c r="D71" s="202">
        <f>D72</f>
        <v>4228092</v>
      </c>
      <c r="E71" s="184"/>
      <c r="F71" s="242"/>
      <c r="G71" s="184"/>
    </row>
    <row r="72" spans="1:7" ht="25.5">
      <c r="A72" s="483" t="s">
        <v>225</v>
      </c>
      <c r="B72" s="192" t="s">
        <v>933</v>
      </c>
      <c r="C72" s="191">
        <v>400</v>
      </c>
      <c r="D72" s="202">
        <v>4228092</v>
      </c>
      <c r="E72" s="184"/>
      <c r="F72" s="242"/>
      <c r="G72" s="184"/>
    </row>
    <row r="73" spans="1:7" ht="29.25" customHeight="1">
      <c r="A73" s="257" t="s">
        <v>281</v>
      </c>
      <c r="B73" s="335" t="s">
        <v>562</v>
      </c>
      <c r="C73" s="224" t="s">
        <v>89</v>
      </c>
      <c r="D73" s="223">
        <f>D74+D88+D131+D138</f>
        <v>267943302.79999998</v>
      </c>
      <c r="E73" s="184"/>
      <c r="F73" s="242"/>
      <c r="G73" s="184"/>
    </row>
    <row r="74" spans="1:7" ht="38.25">
      <c r="A74" s="12" t="s">
        <v>245</v>
      </c>
      <c r="B74" s="249" t="s">
        <v>313</v>
      </c>
      <c r="C74" s="248" t="s">
        <v>89</v>
      </c>
      <c r="D74" s="250">
        <f>D75+D78+D83</f>
        <v>9375108</v>
      </c>
      <c r="E74" s="184"/>
      <c r="F74" s="242"/>
      <c r="G74" s="184"/>
    </row>
    <row r="75" spans="1:7" ht="51">
      <c r="A75" s="28" t="s">
        <v>465</v>
      </c>
      <c r="B75" s="249" t="s">
        <v>314</v>
      </c>
      <c r="C75" s="248"/>
      <c r="D75" s="250">
        <f>D76</f>
        <v>236023</v>
      </c>
      <c r="E75" s="184"/>
      <c r="F75" s="242"/>
      <c r="G75" s="184"/>
    </row>
    <row r="76" spans="1:7" ht="38.25">
      <c r="A76" s="13" t="s">
        <v>601</v>
      </c>
      <c r="B76" s="249" t="s">
        <v>315</v>
      </c>
      <c r="C76" s="248"/>
      <c r="D76" s="250">
        <f>D77</f>
        <v>236023</v>
      </c>
      <c r="E76" s="184"/>
      <c r="F76" s="242"/>
      <c r="G76" s="184"/>
    </row>
    <row r="77" spans="1:7" ht="51">
      <c r="A77" s="13" t="s">
        <v>740</v>
      </c>
      <c r="B77" s="249" t="s">
        <v>315</v>
      </c>
      <c r="C77" s="248">
        <v>100</v>
      </c>
      <c r="D77" s="247">
        <v>236023</v>
      </c>
      <c r="E77" s="184"/>
      <c r="F77" s="242"/>
      <c r="G77" s="184"/>
    </row>
    <row r="78" spans="1:7" ht="39" customHeight="1">
      <c r="A78" s="33" t="s">
        <v>330</v>
      </c>
      <c r="B78" s="249" t="s">
        <v>317</v>
      </c>
      <c r="C78" s="248"/>
      <c r="D78" s="250">
        <f>D79</f>
        <v>7803968</v>
      </c>
      <c r="E78" s="184"/>
      <c r="F78" s="242"/>
      <c r="G78" s="184"/>
    </row>
    <row r="79" spans="1:7" ht="25.5">
      <c r="A79" s="251" t="s">
        <v>498</v>
      </c>
      <c r="B79" s="249" t="s">
        <v>318</v>
      </c>
      <c r="C79" s="248" t="s">
        <v>89</v>
      </c>
      <c r="D79" s="250">
        <f>SUM(D80:D82)</f>
        <v>7803968</v>
      </c>
      <c r="E79" s="184"/>
      <c r="F79" s="242"/>
      <c r="G79" s="184"/>
    </row>
    <row r="80" spans="1:7" ht="51">
      <c r="A80" s="13" t="s">
        <v>740</v>
      </c>
      <c r="B80" s="249" t="s">
        <v>318</v>
      </c>
      <c r="C80" s="248" t="s">
        <v>597</v>
      </c>
      <c r="D80" s="247">
        <v>7222443</v>
      </c>
      <c r="E80" s="184"/>
      <c r="F80" s="242"/>
      <c r="G80" s="184"/>
    </row>
    <row r="81" spans="1:7" ht="25.5">
      <c r="A81" s="13" t="s">
        <v>232</v>
      </c>
      <c r="B81" s="249" t="s">
        <v>318</v>
      </c>
      <c r="C81" s="248" t="s">
        <v>76</v>
      </c>
      <c r="D81" s="247">
        <v>576235</v>
      </c>
      <c r="E81" s="184"/>
      <c r="F81" s="242"/>
      <c r="G81" s="184"/>
    </row>
    <row r="82" spans="1:7" ht="12.75">
      <c r="A82" s="13" t="s">
        <v>79</v>
      </c>
      <c r="B82" s="249" t="s">
        <v>318</v>
      </c>
      <c r="C82" s="248">
        <v>800</v>
      </c>
      <c r="D82" s="247">
        <v>5290</v>
      </c>
      <c r="E82" s="184"/>
      <c r="F82" s="242"/>
      <c r="G82" s="184"/>
    </row>
    <row r="83" spans="1:7" ht="38.25">
      <c r="A83" s="251" t="s">
        <v>642</v>
      </c>
      <c r="B83" s="249" t="s">
        <v>644</v>
      </c>
      <c r="C83" s="248"/>
      <c r="D83" s="250">
        <f>D84</f>
        <v>1335117</v>
      </c>
      <c r="E83" s="184"/>
      <c r="F83" s="242"/>
      <c r="G83" s="184"/>
    </row>
    <row r="84" spans="1:7" ht="25.5">
      <c r="A84" s="251" t="s">
        <v>736</v>
      </c>
      <c r="B84" s="249" t="s">
        <v>645</v>
      </c>
      <c r="C84" s="248"/>
      <c r="D84" s="250">
        <f>SUM(D85:D87)</f>
        <v>1335117</v>
      </c>
      <c r="E84" s="184"/>
      <c r="F84" s="242"/>
      <c r="G84" s="184"/>
    </row>
    <row r="85" spans="1:7" ht="51">
      <c r="A85" s="13" t="s">
        <v>740</v>
      </c>
      <c r="B85" s="249" t="s">
        <v>645</v>
      </c>
      <c r="C85" s="248" t="s">
        <v>597</v>
      </c>
      <c r="D85" s="247">
        <v>1241117</v>
      </c>
      <c r="E85" s="184"/>
      <c r="F85" s="242"/>
      <c r="G85" s="184"/>
    </row>
    <row r="86" spans="1:6" ht="25.5">
      <c r="A86" s="13" t="s">
        <v>232</v>
      </c>
      <c r="B86" s="249" t="s">
        <v>645</v>
      </c>
      <c r="C86" s="248" t="s">
        <v>76</v>
      </c>
      <c r="D86" s="247">
        <v>94000</v>
      </c>
      <c r="F86" s="242"/>
    </row>
    <row r="87" spans="1:6" ht="12.75">
      <c r="A87" s="13" t="s">
        <v>79</v>
      </c>
      <c r="B87" s="249" t="s">
        <v>645</v>
      </c>
      <c r="C87" s="248">
        <v>800</v>
      </c>
      <c r="D87" s="247"/>
      <c r="F87" s="242"/>
    </row>
    <row r="88" spans="1:6" ht="38.25">
      <c r="A88" s="12" t="s">
        <v>282</v>
      </c>
      <c r="B88" s="252" t="s">
        <v>563</v>
      </c>
      <c r="C88" s="248" t="s">
        <v>89</v>
      </c>
      <c r="D88" s="250">
        <f>D89+D99+D103+D108+D123</f>
        <v>237895359.79999998</v>
      </c>
      <c r="F88" s="242"/>
    </row>
    <row r="89" spans="1:6" ht="25.5">
      <c r="A89" s="28" t="s">
        <v>460</v>
      </c>
      <c r="B89" s="249" t="s">
        <v>564</v>
      </c>
      <c r="C89" s="248"/>
      <c r="D89" s="250">
        <f>D90+D93+D97</f>
        <v>94927125.77</v>
      </c>
      <c r="F89" s="242"/>
    </row>
    <row r="90" spans="1:6" ht="76.5">
      <c r="A90" s="13" t="s">
        <v>302</v>
      </c>
      <c r="B90" s="249" t="s">
        <v>303</v>
      </c>
      <c r="C90" s="248" t="s">
        <v>89</v>
      </c>
      <c r="D90" s="250">
        <f>SUM(D91:D92)</f>
        <v>55488082</v>
      </c>
      <c r="F90" s="242"/>
    </row>
    <row r="91" spans="1:6" ht="51">
      <c r="A91" s="13" t="s">
        <v>740</v>
      </c>
      <c r="B91" s="249" t="s">
        <v>303</v>
      </c>
      <c r="C91" s="248" t="s">
        <v>597</v>
      </c>
      <c r="D91" s="247">
        <v>55063202</v>
      </c>
      <c r="F91" s="242"/>
    </row>
    <row r="92" spans="1:6" ht="25.5">
      <c r="A92" s="13" t="s">
        <v>232</v>
      </c>
      <c r="B92" s="249" t="s">
        <v>303</v>
      </c>
      <c r="C92" s="248" t="s">
        <v>76</v>
      </c>
      <c r="D92" s="247">
        <v>424880</v>
      </c>
      <c r="F92" s="242"/>
    </row>
    <row r="93" spans="1:6" ht="25.5">
      <c r="A93" s="251" t="s">
        <v>498</v>
      </c>
      <c r="B93" s="249" t="s">
        <v>304</v>
      </c>
      <c r="C93" s="248"/>
      <c r="D93" s="250">
        <f>SUM(D94:D96)</f>
        <v>39439043.769999996</v>
      </c>
      <c r="F93" s="242"/>
    </row>
    <row r="94" spans="1:6" ht="51">
      <c r="A94" s="13" t="s">
        <v>740</v>
      </c>
      <c r="B94" s="249" t="s">
        <v>304</v>
      </c>
      <c r="C94" s="248">
        <v>100</v>
      </c>
      <c r="D94" s="247">
        <v>17454564</v>
      </c>
      <c r="F94" s="242"/>
    </row>
    <row r="95" spans="1:6" ht="25.5">
      <c r="A95" s="13" t="s">
        <v>232</v>
      </c>
      <c r="B95" s="249" t="s">
        <v>304</v>
      </c>
      <c r="C95" s="248">
        <v>200</v>
      </c>
      <c r="D95" s="247">
        <v>19704648.77</v>
      </c>
      <c r="F95" s="242"/>
    </row>
    <row r="96" spans="1:6" ht="12.75">
      <c r="A96" s="13" t="s">
        <v>79</v>
      </c>
      <c r="B96" s="249" t="s">
        <v>304</v>
      </c>
      <c r="C96" s="248">
        <v>800</v>
      </c>
      <c r="D96" s="247">
        <v>2279831</v>
      </c>
      <c r="F96" s="242"/>
    </row>
    <row r="97" spans="1:6" ht="38.25" hidden="1">
      <c r="A97" s="13" t="s">
        <v>158</v>
      </c>
      <c r="B97" s="249" t="s">
        <v>154</v>
      </c>
      <c r="C97" s="248"/>
      <c r="D97" s="247">
        <f>D98</f>
        <v>0</v>
      </c>
      <c r="F97" s="242"/>
    </row>
    <row r="98" spans="1:6" ht="25.5" hidden="1">
      <c r="A98" s="13" t="s">
        <v>232</v>
      </c>
      <c r="B98" s="249" t="s">
        <v>154</v>
      </c>
      <c r="C98" s="248">
        <v>200</v>
      </c>
      <c r="D98" s="247"/>
      <c r="F98" s="242"/>
    </row>
    <row r="99" spans="1:6" ht="25.5">
      <c r="A99" s="28" t="s">
        <v>253</v>
      </c>
      <c r="B99" s="249" t="s">
        <v>133</v>
      </c>
      <c r="C99" s="248"/>
      <c r="D99" s="250">
        <f>D100</f>
        <v>5116098</v>
      </c>
      <c r="F99" s="242"/>
    </row>
    <row r="100" spans="1:6" ht="12.75">
      <c r="A100" s="13" t="s">
        <v>327</v>
      </c>
      <c r="B100" s="249" t="s">
        <v>247</v>
      </c>
      <c r="C100" s="248"/>
      <c r="D100" s="250">
        <f>SUM(D101:D102)</f>
        <v>5116098</v>
      </c>
      <c r="F100" s="242"/>
    </row>
    <row r="101" spans="1:6" ht="25.5">
      <c r="A101" s="13" t="s">
        <v>232</v>
      </c>
      <c r="B101" s="249" t="s">
        <v>247</v>
      </c>
      <c r="C101" s="248">
        <v>200</v>
      </c>
      <c r="D101" s="247">
        <v>20382</v>
      </c>
      <c r="F101" s="242"/>
    </row>
    <row r="102" spans="1:7" ht="12.75">
      <c r="A102" s="13" t="s">
        <v>83</v>
      </c>
      <c r="B102" s="249" t="s">
        <v>247</v>
      </c>
      <c r="C102" s="248">
        <v>300</v>
      </c>
      <c r="D102" s="247">
        <v>5095716</v>
      </c>
      <c r="E102" s="351"/>
      <c r="F102" s="242"/>
      <c r="G102" s="331"/>
    </row>
    <row r="103" spans="1:6" ht="25.5">
      <c r="A103" s="28" t="s">
        <v>462</v>
      </c>
      <c r="B103" s="249" t="s">
        <v>305</v>
      </c>
      <c r="C103" s="248"/>
      <c r="D103" s="250">
        <f>D104+D106</f>
        <v>111415026</v>
      </c>
      <c r="F103" s="242"/>
    </row>
    <row r="104" spans="1:6" ht="78" customHeight="1">
      <c r="A104" s="13" t="s">
        <v>686</v>
      </c>
      <c r="B104" s="249" t="s">
        <v>306</v>
      </c>
      <c r="C104" s="248" t="s">
        <v>89</v>
      </c>
      <c r="D104" s="250">
        <f>D105</f>
        <v>96274514</v>
      </c>
      <c r="F104" s="242"/>
    </row>
    <row r="105" spans="1:6" ht="25.5">
      <c r="A105" s="13" t="s">
        <v>92</v>
      </c>
      <c r="B105" s="249" t="s">
        <v>306</v>
      </c>
      <c r="C105" s="248">
        <v>600</v>
      </c>
      <c r="D105" s="247">
        <v>96274514</v>
      </c>
      <c r="F105" s="242"/>
    </row>
    <row r="106" spans="1:6" ht="25.5">
      <c r="A106" s="251" t="s">
        <v>498</v>
      </c>
      <c r="B106" s="249" t="s">
        <v>307</v>
      </c>
      <c r="C106" s="248"/>
      <c r="D106" s="250">
        <f>D107</f>
        <v>15140512</v>
      </c>
      <c r="F106" s="242"/>
    </row>
    <row r="107" spans="1:6" ht="25.5">
      <c r="A107" s="13" t="s">
        <v>92</v>
      </c>
      <c r="B107" s="249" t="s">
        <v>307</v>
      </c>
      <c r="C107" s="248">
        <v>600</v>
      </c>
      <c r="D107" s="247">
        <v>15140512</v>
      </c>
      <c r="F107" s="242"/>
    </row>
    <row r="108" spans="1:6" ht="25.5">
      <c r="A108" s="28" t="s">
        <v>463</v>
      </c>
      <c r="B108" s="252" t="s">
        <v>308</v>
      </c>
      <c r="C108" s="248"/>
      <c r="D108" s="250">
        <f>D110+D112+D116+D118+D120+D122+D114+D127+D130</f>
        <v>26437110.03</v>
      </c>
      <c r="F108" s="242"/>
    </row>
    <row r="109" spans="1:6" ht="38.25">
      <c r="A109" s="26" t="s">
        <v>400</v>
      </c>
      <c r="B109" s="249" t="s">
        <v>401</v>
      </c>
      <c r="C109" s="248"/>
      <c r="D109" s="250">
        <f>D110</f>
        <v>6257471</v>
      </c>
      <c r="F109" s="242"/>
    </row>
    <row r="110" spans="1:6" ht="25.5">
      <c r="A110" s="13" t="s">
        <v>92</v>
      </c>
      <c r="B110" s="249" t="s">
        <v>401</v>
      </c>
      <c r="C110" s="248">
        <v>600</v>
      </c>
      <c r="D110" s="250">
        <v>6257471</v>
      </c>
      <c r="F110" s="242"/>
    </row>
    <row r="111" spans="1:6" ht="51">
      <c r="A111" s="17" t="s">
        <v>751</v>
      </c>
      <c r="B111" s="285" t="s">
        <v>752</v>
      </c>
      <c r="C111" s="248"/>
      <c r="D111" s="250">
        <f>D112</f>
        <v>318065</v>
      </c>
      <c r="F111" s="242"/>
    </row>
    <row r="112" spans="1:6" ht="25.5">
      <c r="A112" s="287" t="s">
        <v>92</v>
      </c>
      <c r="B112" s="285" t="s">
        <v>752</v>
      </c>
      <c r="C112" s="248">
        <v>600</v>
      </c>
      <c r="D112" s="250">
        <v>318065</v>
      </c>
      <c r="F112" s="242"/>
    </row>
    <row r="113" spans="1:6" ht="25.5">
      <c r="A113" s="74" t="s">
        <v>724</v>
      </c>
      <c r="B113" s="192" t="s">
        <v>725</v>
      </c>
      <c r="C113" s="191"/>
      <c r="D113" s="250">
        <f>D114</f>
        <v>2355150.03</v>
      </c>
      <c r="F113" s="242"/>
    </row>
    <row r="114" spans="1:6" ht="25.5">
      <c r="A114" s="203" t="s">
        <v>92</v>
      </c>
      <c r="B114" s="192" t="s">
        <v>725</v>
      </c>
      <c r="C114" s="191">
        <v>600</v>
      </c>
      <c r="D114" s="250">
        <v>2355150.03</v>
      </c>
      <c r="F114" s="242"/>
    </row>
    <row r="115" spans="1:6" ht="51">
      <c r="A115" s="25" t="s">
        <v>299</v>
      </c>
      <c r="B115" s="285" t="s">
        <v>309</v>
      </c>
      <c r="C115" s="295"/>
      <c r="D115" s="250">
        <f>D116</f>
        <v>2127215</v>
      </c>
      <c r="F115" s="242"/>
    </row>
    <row r="116" spans="1:6" ht="25.5">
      <c r="A116" s="287" t="s">
        <v>92</v>
      </c>
      <c r="B116" s="285" t="s">
        <v>309</v>
      </c>
      <c r="C116" s="295">
        <v>600</v>
      </c>
      <c r="D116" s="247">
        <v>2127215</v>
      </c>
      <c r="F116" s="242"/>
    </row>
    <row r="117" spans="1:6" ht="25.5">
      <c r="A117" s="251" t="s">
        <v>498</v>
      </c>
      <c r="B117" s="249" t="s">
        <v>399</v>
      </c>
      <c r="C117" s="248"/>
      <c r="D117" s="250">
        <f>D118</f>
        <v>1500175</v>
      </c>
      <c r="F117" s="242"/>
    </row>
    <row r="118" spans="1:6" ht="25.5">
      <c r="A118" s="287" t="s">
        <v>92</v>
      </c>
      <c r="B118" s="249" t="s">
        <v>399</v>
      </c>
      <c r="C118" s="248">
        <v>600</v>
      </c>
      <c r="D118" s="247">
        <v>1500175</v>
      </c>
      <c r="F118" s="242"/>
    </row>
    <row r="119" spans="1:6" ht="12.75">
      <c r="A119" s="23" t="s">
        <v>278</v>
      </c>
      <c r="B119" s="249" t="s">
        <v>277</v>
      </c>
      <c r="C119" s="248"/>
      <c r="D119" s="247">
        <f>D120</f>
        <v>20000</v>
      </c>
      <c r="F119" s="242"/>
    </row>
    <row r="120" spans="1:6" ht="12.75">
      <c r="A120" s="13" t="s">
        <v>83</v>
      </c>
      <c r="B120" s="249" t="s">
        <v>277</v>
      </c>
      <c r="C120" s="248">
        <v>300</v>
      </c>
      <c r="D120" s="247">
        <v>20000</v>
      </c>
      <c r="F120" s="242"/>
    </row>
    <row r="121" spans="1:6" ht="38.25">
      <c r="A121" s="13" t="s">
        <v>513</v>
      </c>
      <c r="B121" s="285" t="s">
        <v>514</v>
      </c>
      <c r="C121" s="248"/>
      <c r="D121" s="247">
        <f>D122</f>
        <v>6562080</v>
      </c>
      <c r="F121" s="242"/>
    </row>
    <row r="122" spans="1:6" ht="25.5">
      <c r="A122" s="13" t="s">
        <v>92</v>
      </c>
      <c r="B122" s="285" t="s">
        <v>514</v>
      </c>
      <c r="C122" s="248">
        <v>600</v>
      </c>
      <c r="D122" s="247">
        <v>6562080</v>
      </c>
      <c r="F122" s="242"/>
    </row>
    <row r="123" spans="1:7" ht="25.5">
      <c r="A123" s="212" t="s">
        <v>498</v>
      </c>
      <c r="B123" s="192" t="s">
        <v>881</v>
      </c>
      <c r="C123" s="248"/>
      <c r="D123" s="247">
        <f>D124</f>
        <v>0</v>
      </c>
      <c r="E123" s="184"/>
      <c r="F123" s="242"/>
      <c r="G123" s="184"/>
    </row>
    <row r="124" spans="1:7" ht="25.5">
      <c r="A124" s="209" t="s">
        <v>92</v>
      </c>
      <c r="B124" s="192" t="s">
        <v>881</v>
      </c>
      <c r="C124" s="248">
        <v>600</v>
      </c>
      <c r="D124" s="247"/>
      <c r="E124" s="184"/>
      <c r="F124" s="242"/>
      <c r="G124" s="184"/>
    </row>
    <row r="125" spans="1:7" ht="12.75">
      <c r="A125" s="482" t="s">
        <v>755</v>
      </c>
      <c r="B125" s="214" t="s">
        <v>335</v>
      </c>
      <c r="C125" s="213"/>
      <c r="D125" s="247">
        <f>D126</f>
        <v>3423556</v>
      </c>
      <c r="E125" s="184"/>
      <c r="F125" s="242"/>
      <c r="G125" s="184"/>
    </row>
    <row r="126" spans="1:7" ht="63.75">
      <c r="A126" s="482" t="s">
        <v>905</v>
      </c>
      <c r="B126" s="214" t="s">
        <v>336</v>
      </c>
      <c r="C126" s="213"/>
      <c r="D126" s="247">
        <f>D127</f>
        <v>3423556</v>
      </c>
      <c r="E126" s="184"/>
      <c r="F126" s="242"/>
      <c r="G126" s="184"/>
    </row>
    <row r="127" spans="1:7" ht="25.5">
      <c r="A127" s="388" t="s">
        <v>92</v>
      </c>
      <c r="B127" s="214" t="s">
        <v>336</v>
      </c>
      <c r="C127" s="213">
        <v>600</v>
      </c>
      <c r="D127" s="247">
        <v>3423556</v>
      </c>
      <c r="E127" s="184"/>
      <c r="F127" s="242"/>
      <c r="G127" s="184"/>
    </row>
    <row r="128" spans="1:7" ht="12.75">
      <c r="A128" s="482" t="s">
        <v>110</v>
      </c>
      <c r="B128" s="214" t="s">
        <v>64</v>
      </c>
      <c r="C128" s="213"/>
      <c r="D128" s="247">
        <f>D129</f>
        <v>3873398</v>
      </c>
      <c r="E128" s="184"/>
      <c r="F128" s="242"/>
      <c r="G128" s="184"/>
    </row>
    <row r="129" spans="1:7" ht="38.25">
      <c r="A129" s="482" t="s">
        <v>906</v>
      </c>
      <c r="B129" s="214" t="s">
        <v>65</v>
      </c>
      <c r="C129" s="213"/>
      <c r="D129" s="247">
        <f>D130</f>
        <v>3873398</v>
      </c>
      <c r="E129" s="184"/>
      <c r="F129" s="242"/>
      <c r="G129" s="184"/>
    </row>
    <row r="130" spans="1:7" ht="25.5">
      <c r="A130" s="388" t="s">
        <v>92</v>
      </c>
      <c r="B130" s="214" t="s">
        <v>65</v>
      </c>
      <c r="C130" s="213">
        <v>600</v>
      </c>
      <c r="D130" s="247">
        <v>3873398</v>
      </c>
      <c r="E130" s="184"/>
      <c r="F130" s="242"/>
      <c r="G130" s="184"/>
    </row>
    <row r="131" spans="1:7" ht="38.25">
      <c r="A131" s="12" t="s">
        <v>5</v>
      </c>
      <c r="B131" s="252" t="s">
        <v>310</v>
      </c>
      <c r="C131" s="248" t="s">
        <v>89</v>
      </c>
      <c r="D131" s="250">
        <f>D132+D136</f>
        <v>16892835</v>
      </c>
      <c r="E131" s="184"/>
      <c r="F131" s="242"/>
      <c r="G131" s="184"/>
    </row>
    <row r="132" spans="1:7" ht="25.5">
      <c r="A132" s="28" t="s">
        <v>464</v>
      </c>
      <c r="B132" s="249" t="s">
        <v>311</v>
      </c>
      <c r="C132" s="248"/>
      <c r="D132" s="250">
        <f>D133</f>
        <v>16892835</v>
      </c>
      <c r="E132" s="184"/>
      <c r="F132" s="242"/>
      <c r="G132" s="184"/>
    </row>
    <row r="133" spans="1:7" ht="25.5">
      <c r="A133" s="251" t="s">
        <v>498</v>
      </c>
      <c r="B133" s="249" t="s">
        <v>312</v>
      </c>
      <c r="C133" s="248" t="s">
        <v>89</v>
      </c>
      <c r="D133" s="250">
        <f>D134</f>
        <v>16892835</v>
      </c>
      <c r="E133" s="184"/>
      <c r="F133" s="242"/>
      <c r="G133" s="184"/>
    </row>
    <row r="134" spans="1:7" ht="25.5">
      <c r="A134" s="287" t="s">
        <v>92</v>
      </c>
      <c r="B134" s="249" t="s">
        <v>312</v>
      </c>
      <c r="C134" s="248">
        <v>600</v>
      </c>
      <c r="D134" s="247">
        <v>16892835</v>
      </c>
      <c r="E134" s="184"/>
      <c r="F134" s="242"/>
      <c r="G134" s="184"/>
    </row>
    <row r="135" spans="1:7" ht="12.75" hidden="1">
      <c r="A135" s="296" t="s">
        <v>109</v>
      </c>
      <c r="B135" s="249" t="s">
        <v>708</v>
      </c>
      <c r="C135" s="295"/>
      <c r="D135" s="250">
        <f>D136</f>
        <v>0</v>
      </c>
      <c r="E135" s="184"/>
      <c r="F135" s="242"/>
      <c r="G135" s="184"/>
    </row>
    <row r="136" spans="1:7" ht="38.25" hidden="1">
      <c r="A136" s="296" t="s">
        <v>771</v>
      </c>
      <c r="B136" s="249" t="s">
        <v>709</v>
      </c>
      <c r="C136" s="295"/>
      <c r="D136" s="250">
        <f>D137</f>
        <v>0</v>
      </c>
      <c r="E136" s="184"/>
      <c r="F136" s="242"/>
      <c r="G136" s="184"/>
    </row>
    <row r="137" spans="1:7" ht="25.5" hidden="1">
      <c r="A137" s="203" t="s">
        <v>92</v>
      </c>
      <c r="B137" s="192" t="s">
        <v>709</v>
      </c>
      <c r="C137" s="191">
        <v>600</v>
      </c>
      <c r="D137" s="202"/>
      <c r="E137" s="184"/>
      <c r="F137" s="242"/>
      <c r="G137" s="184"/>
    </row>
    <row r="138" spans="1:7" ht="63.75">
      <c r="A138" s="117" t="s">
        <v>469</v>
      </c>
      <c r="B138" s="204" t="s">
        <v>470</v>
      </c>
      <c r="C138" s="195"/>
      <c r="D138" s="190">
        <f>D139</f>
        <v>3780000</v>
      </c>
      <c r="E138" s="184"/>
      <c r="F138" s="242"/>
      <c r="G138" s="184"/>
    </row>
    <row r="139" spans="1:7" ht="38.25">
      <c r="A139" s="203" t="s">
        <v>512</v>
      </c>
      <c r="B139" s="192" t="s">
        <v>471</v>
      </c>
      <c r="C139" s="191"/>
      <c r="D139" s="202">
        <f>D140</f>
        <v>3780000</v>
      </c>
      <c r="E139" s="184"/>
      <c r="F139" s="242"/>
      <c r="G139" s="184"/>
    </row>
    <row r="140" spans="1:7" ht="38.25">
      <c r="A140" s="28" t="s">
        <v>223</v>
      </c>
      <c r="B140" s="192" t="s">
        <v>472</v>
      </c>
      <c r="C140" s="191"/>
      <c r="D140" s="202">
        <f>D141</f>
        <v>3780000</v>
      </c>
      <c r="E140" s="184"/>
      <c r="F140" s="242"/>
      <c r="G140" s="184"/>
    </row>
    <row r="141" spans="1:7" ht="25.5">
      <c r="A141" s="203" t="s">
        <v>225</v>
      </c>
      <c r="B141" s="192" t="s">
        <v>472</v>
      </c>
      <c r="C141" s="191">
        <v>400</v>
      </c>
      <c r="D141" s="202">
        <v>3780000</v>
      </c>
      <c r="E141" s="184"/>
      <c r="F141" s="242"/>
      <c r="G141" s="184"/>
    </row>
    <row r="142" spans="1:7" ht="51">
      <c r="A142" s="210" t="s">
        <v>716</v>
      </c>
      <c r="B142" s="335" t="s">
        <v>8</v>
      </c>
      <c r="C142" s="224" t="s">
        <v>89</v>
      </c>
      <c r="D142" s="223">
        <f>D143</f>
        <v>996480</v>
      </c>
      <c r="E142" s="184"/>
      <c r="F142" s="242"/>
      <c r="G142" s="184"/>
    </row>
    <row r="143" spans="1:7" ht="76.5">
      <c r="A143" s="269" t="s">
        <v>717</v>
      </c>
      <c r="B143" s="249" t="s">
        <v>9</v>
      </c>
      <c r="C143" s="264" t="s">
        <v>89</v>
      </c>
      <c r="D143" s="250">
        <f>D144</f>
        <v>996480</v>
      </c>
      <c r="E143" s="184"/>
      <c r="F143" s="242"/>
      <c r="G143" s="184"/>
    </row>
    <row r="144" spans="1:7" ht="38.25">
      <c r="A144" s="29" t="s">
        <v>39</v>
      </c>
      <c r="B144" s="249" t="s">
        <v>10</v>
      </c>
      <c r="C144" s="264"/>
      <c r="D144" s="250">
        <f>D145</f>
        <v>996480</v>
      </c>
      <c r="E144" s="184"/>
      <c r="F144" s="242"/>
      <c r="G144" s="184"/>
    </row>
    <row r="145" spans="1:6" ht="12.75">
      <c r="A145" s="251" t="s">
        <v>287</v>
      </c>
      <c r="B145" s="249" t="s">
        <v>11</v>
      </c>
      <c r="C145" s="264" t="s">
        <v>89</v>
      </c>
      <c r="D145" s="250">
        <f>SUM(D146:D147)</f>
        <v>996480</v>
      </c>
      <c r="F145" s="242"/>
    </row>
    <row r="146" spans="1:6" ht="25.5">
      <c r="A146" s="13" t="s">
        <v>232</v>
      </c>
      <c r="B146" s="249" t="s">
        <v>11</v>
      </c>
      <c r="C146" s="248" t="s">
        <v>76</v>
      </c>
      <c r="D146" s="247">
        <v>537500</v>
      </c>
      <c r="F146" s="242"/>
    </row>
    <row r="147" spans="1:6" ht="12.75">
      <c r="A147" s="246" t="s">
        <v>79</v>
      </c>
      <c r="B147" s="245" t="s">
        <v>11</v>
      </c>
      <c r="C147" s="244">
        <v>800</v>
      </c>
      <c r="D147" s="243">
        <v>458980</v>
      </c>
      <c r="F147" s="242"/>
    </row>
    <row r="148" spans="1:6" ht="51">
      <c r="A148" s="257" t="s">
        <v>483</v>
      </c>
      <c r="B148" s="335" t="s">
        <v>34</v>
      </c>
      <c r="C148" s="224"/>
      <c r="D148" s="223">
        <f>D149+D157+D169</f>
        <v>58571755.11</v>
      </c>
      <c r="F148" s="242"/>
    </row>
    <row r="149" spans="1:6" ht="76.5">
      <c r="A149" s="12" t="s">
        <v>219</v>
      </c>
      <c r="B149" s="249" t="s">
        <v>220</v>
      </c>
      <c r="C149" s="299"/>
      <c r="D149" s="250">
        <f>D150</f>
        <v>48936279.26</v>
      </c>
      <c r="F149" s="242"/>
    </row>
    <row r="150" spans="1:6" ht="25.5">
      <c r="A150" s="296" t="s">
        <v>754</v>
      </c>
      <c r="B150" s="249" t="s">
        <v>66</v>
      </c>
      <c r="C150" s="299"/>
      <c r="D150" s="250">
        <f>D151+D153+D155</f>
        <v>48936279.26</v>
      </c>
      <c r="F150" s="242"/>
    </row>
    <row r="151" spans="1:6" ht="38.25">
      <c r="A151" s="296" t="s">
        <v>94</v>
      </c>
      <c r="B151" s="249" t="s">
        <v>710</v>
      </c>
      <c r="C151" s="299"/>
      <c r="D151" s="250">
        <f>D152</f>
        <v>31409414.15</v>
      </c>
      <c r="F151" s="242"/>
    </row>
    <row r="152" spans="1:6" ht="25.5">
      <c r="A152" s="287" t="s">
        <v>225</v>
      </c>
      <c r="B152" s="249" t="s">
        <v>710</v>
      </c>
      <c r="C152" s="248">
        <v>400</v>
      </c>
      <c r="D152" s="250">
        <v>31409414.15</v>
      </c>
      <c r="F152" s="242"/>
    </row>
    <row r="153" spans="1:6" ht="25.5">
      <c r="A153" s="296" t="s">
        <v>95</v>
      </c>
      <c r="B153" s="249" t="s">
        <v>711</v>
      </c>
      <c r="C153" s="299"/>
      <c r="D153" s="250">
        <f>D154</f>
        <v>6371534.65</v>
      </c>
      <c r="F153" s="242"/>
    </row>
    <row r="154" spans="1:6" ht="25.5">
      <c r="A154" s="287" t="s">
        <v>225</v>
      </c>
      <c r="B154" s="249" t="s">
        <v>711</v>
      </c>
      <c r="C154" s="248">
        <v>400</v>
      </c>
      <c r="D154" s="250">
        <v>6371534.65</v>
      </c>
      <c r="F154" s="242"/>
    </row>
    <row r="155" spans="1:6" ht="63.75">
      <c r="A155" s="17" t="s">
        <v>69</v>
      </c>
      <c r="B155" s="249" t="s">
        <v>296</v>
      </c>
      <c r="C155" s="299"/>
      <c r="D155" s="250">
        <f>D156</f>
        <v>11155330.46</v>
      </c>
      <c r="F155" s="242"/>
    </row>
    <row r="156" spans="1:7" ht="25.5">
      <c r="A156" s="287" t="s">
        <v>225</v>
      </c>
      <c r="B156" s="249" t="s">
        <v>296</v>
      </c>
      <c r="C156" s="248">
        <v>400</v>
      </c>
      <c r="D156" s="247">
        <v>11155330.46</v>
      </c>
      <c r="E156" s="333"/>
      <c r="F156" s="242"/>
      <c r="G156" s="331"/>
    </row>
    <row r="157" spans="1:7" ht="63.75">
      <c r="A157" s="12" t="s">
        <v>484</v>
      </c>
      <c r="B157" s="252" t="s">
        <v>561</v>
      </c>
      <c r="C157" s="299"/>
      <c r="D157" s="250">
        <f>D158+D161</f>
        <v>9635475.85</v>
      </c>
      <c r="E157" s="330"/>
      <c r="F157" s="242"/>
      <c r="G157" s="331"/>
    </row>
    <row r="158" spans="1:7" ht="25.5">
      <c r="A158" s="28" t="s">
        <v>238</v>
      </c>
      <c r="B158" s="249" t="s">
        <v>271</v>
      </c>
      <c r="C158" s="299"/>
      <c r="D158" s="250">
        <f>D159</f>
        <v>684000</v>
      </c>
      <c r="E158" s="330"/>
      <c r="F158" s="242"/>
      <c r="G158" s="331"/>
    </row>
    <row r="159" spans="1:6" ht="24">
      <c r="A159" s="30" t="s">
        <v>270</v>
      </c>
      <c r="B159" s="249" t="s">
        <v>269</v>
      </c>
      <c r="C159" s="299"/>
      <c r="D159" s="250">
        <f>SUM(D160:D160)</f>
        <v>684000</v>
      </c>
      <c r="F159" s="242"/>
    </row>
    <row r="160" spans="1:6" ht="25.5">
      <c r="A160" s="13" t="s">
        <v>232</v>
      </c>
      <c r="B160" s="249" t="s">
        <v>269</v>
      </c>
      <c r="C160" s="248">
        <v>200</v>
      </c>
      <c r="D160" s="247">
        <v>684000</v>
      </c>
      <c r="F160" s="242"/>
    </row>
    <row r="161" spans="1:6" ht="25.5">
      <c r="A161" s="28" t="s">
        <v>357</v>
      </c>
      <c r="B161" s="249" t="s">
        <v>458</v>
      </c>
      <c r="C161" s="248"/>
      <c r="D161" s="250">
        <f>D162+D165+D167</f>
        <v>8951475.85</v>
      </c>
      <c r="F161" s="242"/>
    </row>
    <row r="162" spans="1:6" ht="12.75">
      <c r="A162" s="33" t="s">
        <v>737</v>
      </c>
      <c r="B162" s="249" t="s">
        <v>459</v>
      </c>
      <c r="C162" s="248" t="s">
        <v>89</v>
      </c>
      <c r="D162" s="250">
        <f>SUM(D163:D164)</f>
        <v>8951475.85</v>
      </c>
      <c r="F162" s="242"/>
    </row>
    <row r="163" spans="1:6" ht="25.5">
      <c r="A163" s="13" t="s">
        <v>232</v>
      </c>
      <c r="B163" s="249" t="s">
        <v>459</v>
      </c>
      <c r="C163" s="248">
        <v>200</v>
      </c>
      <c r="D163" s="247">
        <v>3375738</v>
      </c>
      <c r="F163" s="242"/>
    </row>
    <row r="164" spans="1:6" ht="12.75">
      <c r="A164" s="13" t="s">
        <v>79</v>
      </c>
      <c r="B164" s="249" t="s">
        <v>459</v>
      </c>
      <c r="C164" s="248">
        <v>800</v>
      </c>
      <c r="D164" s="247">
        <v>5575737.85</v>
      </c>
      <c r="F164" s="242"/>
    </row>
    <row r="165" spans="1:6" ht="12.75" hidden="1">
      <c r="A165" s="203" t="s">
        <v>819</v>
      </c>
      <c r="B165" s="192" t="s">
        <v>818</v>
      </c>
      <c r="C165" s="191"/>
      <c r="D165" s="202">
        <f>D166</f>
        <v>0</v>
      </c>
      <c r="F165" s="242"/>
    </row>
    <row r="166" spans="1:6" ht="25.5" hidden="1">
      <c r="A166" s="203" t="s">
        <v>232</v>
      </c>
      <c r="B166" s="192" t="s">
        <v>818</v>
      </c>
      <c r="C166" s="191">
        <v>200</v>
      </c>
      <c r="D166" s="247"/>
      <c r="F166" s="242"/>
    </row>
    <row r="167" spans="1:7" ht="12.75" hidden="1">
      <c r="A167" s="203" t="s">
        <v>817</v>
      </c>
      <c r="B167" s="192" t="s">
        <v>816</v>
      </c>
      <c r="C167" s="191"/>
      <c r="D167" s="202">
        <f>D168</f>
        <v>0</v>
      </c>
      <c r="E167" s="334"/>
      <c r="F167" s="242"/>
      <c r="G167" s="331"/>
    </row>
    <row r="168" spans="1:7" ht="25.5" hidden="1">
      <c r="A168" s="203" t="s">
        <v>232</v>
      </c>
      <c r="B168" s="192" t="s">
        <v>816</v>
      </c>
      <c r="C168" s="191">
        <v>200</v>
      </c>
      <c r="D168" s="202"/>
      <c r="E168" s="334"/>
      <c r="F168" s="242"/>
      <c r="G168" s="331"/>
    </row>
    <row r="169" spans="1:7" ht="38.25" hidden="1">
      <c r="A169" s="75" t="s">
        <v>96</v>
      </c>
      <c r="B169" s="86" t="s">
        <v>332</v>
      </c>
      <c r="C169" s="76"/>
      <c r="D169" s="80">
        <f>D170</f>
        <v>0</v>
      </c>
      <c r="E169" s="334"/>
      <c r="F169" s="242"/>
      <c r="G169" s="331"/>
    </row>
    <row r="170" spans="1:6" ht="25.5" hidden="1">
      <c r="A170" s="26" t="s">
        <v>333</v>
      </c>
      <c r="B170" s="72" t="s">
        <v>334</v>
      </c>
      <c r="C170" s="76"/>
      <c r="D170" s="80">
        <f>D171</f>
        <v>0</v>
      </c>
      <c r="F170" s="242"/>
    </row>
    <row r="171" spans="1:6" ht="78.75" customHeight="1" hidden="1">
      <c r="A171" s="83" t="s">
        <v>232</v>
      </c>
      <c r="B171" s="88" t="s">
        <v>334</v>
      </c>
      <c r="C171" s="84">
        <v>200</v>
      </c>
      <c r="D171" s="126"/>
      <c r="F171" s="242"/>
    </row>
    <row r="172" spans="1:6" ht="51">
      <c r="A172" s="257" t="s">
        <v>442</v>
      </c>
      <c r="B172" s="335" t="s">
        <v>441</v>
      </c>
      <c r="C172" s="224" t="s">
        <v>89</v>
      </c>
      <c r="D172" s="223">
        <f>D173+D186</f>
        <v>2744600</v>
      </c>
      <c r="F172" s="242"/>
    </row>
    <row r="173" spans="1:6" ht="76.5">
      <c r="A173" s="12" t="s">
        <v>356</v>
      </c>
      <c r="B173" s="252" t="s">
        <v>492</v>
      </c>
      <c r="C173" s="248" t="s">
        <v>89</v>
      </c>
      <c r="D173" s="250">
        <f>D174+D183</f>
        <v>2644600</v>
      </c>
      <c r="F173" s="242"/>
    </row>
    <row r="174" spans="1:6" ht="25.5">
      <c r="A174" s="33" t="s">
        <v>491</v>
      </c>
      <c r="B174" s="249" t="s">
        <v>490</v>
      </c>
      <c r="C174" s="248"/>
      <c r="D174" s="250">
        <f>D177+D180+D175</f>
        <v>2554600</v>
      </c>
      <c r="F174" s="242"/>
    </row>
    <row r="175" spans="1:6" ht="12.75">
      <c r="A175" s="17" t="s">
        <v>489</v>
      </c>
      <c r="B175" s="192" t="s">
        <v>488</v>
      </c>
      <c r="C175" s="193"/>
      <c r="D175" s="250">
        <f>D176</f>
        <v>7000</v>
      </c>
      <c r="F175" s="242"/>
    </row>
    <row r="176" spans="1:6" ht="25.5">
      <c r="A176" s="203" t="s">
        <v>92</v>
      </c>
      <c r="B176" s="192" t="s">
        <v>488</v>
      </c>
      <c r="C176" s="193">
        <v>600</v>
      </c>
      <c r="D176" s="250">
        <v>7000</v>
      </c>
      <c r="F176" s="242"/>
    </row>
    <row r="177" spans="1:6" ht="12.75">
      <c r="A177" s="74" t="s">
        <v>639</v>
      </c>
      <c r="B177" s="249" t="s">
        <v>640</v>
      </c>
      <c r="C177" s="251"/>
      <c r="D177" s="250">
        <f>SUM(D178:D179)</f>
        <v>993564</v>
      </c>
      <c r="F177" s="242"/>
    </row>
    <row r="178" spans="1:6" ht="12.75">
      <c r="A178" s="13" t="s">
        <v>83</v>
      </c>
      <c r="B178" s="249" t="s">
        <v>640</v>
      </c>
      <c r="C178" s="251">
        <v>300</v>
      </c>
      <c r="D178" s="247">
        <v>442037</v>
      </c>
      <c r="F178" s="242"/>
    </row>
    <row r="179" spans="1:6" ht="25.5">
      <c r="A179" s="13" t="s">
        <v>92</v>
      </c>
      <c r="B179" s="249" t="s">
        <v>640</v>
      </c>
      <c r="C179" s="251">
        <v>600</v>
      </c>
      <c r="D179" s="247">
        <v>551527</v>
      </c>
      <c r="F179" s="242"/>
    </row>
    <row r="180" spans="1:6" ht="25.5">
      <c r="A180" s="25" t="s">
        <v>499</v>
      </c>
      <c r="B180" s="249" t="s">
        <v>285</v>
      </c>
      <c r="C180" s="251"/>
      <c r="D180" s="250">
        <f>D181+D182</f>
        <v>1554036</v>
      </c>
      <c r="F180" s="242"/>
    </row>
    <row r="181" spans="1:6" ht="12.75">
      <c r="A181" s="13" t="s">
        <v>83</v>
      </c>
      <c r="B181" s="249" t="s">
        <v>285</v>
      </c>
      <c r="C181" s="251">
        <v>300</v>
      </c>
      <c r="D181" s="250">
        <v>691391</v>
      </c>
      <c r="F181" s="242"/>
    </row>
    <row r="182" spans="1:7" ht="25.5">
      <c r="A182" s="13" t="s">
        <v>92</v>
      </c>
      <c r="B182" s="249" t="s">
        <v>285</v>
      </c>
      <c r="C182" s="251">
        <v>600</v>
      </c>
      <c r="D182" s="247">
        <v>862645</v>
      </c>
      <c r="E182" s="350"/>
      <c r="F182" s="242"/>
      <c r="G182" s="332"/>
    </row>
    <row r="183" spans="1:6" ht="38.25">
      <c r="A183" s="33" t="s">
        <v>757</v>
      </c>
      <c r="B183" s="249" t="s">
        <v>758</v>
      </c>
      <c r="C183" s="248"/>
      <c r="D183" s="250">
        <f>D184</f>
        <v>90000</v>
      </c>
      <c r="F183" s="242"/>
    </row>
    <row r="184" spans="1:6" ht="53.25" customHeight="1">
      <c r="A184" s="33" t="s">
        <v>760</v>
      </c>
      <c r="B184" s="249" t="s">
        <v>759</v>
      </c>
      <c r="C184" s="248"/>
      <c r="D184" s="250">
        <f>D185</f>
        <v>90000</v>
      </c>
      <c r="F184" s="242"/>
    </row>
    <row r="185" spans="1:6" ht="25.5">
      <c r="A185" s="13" t="s">
        <v>232</v>
      </c>
      <c r="B185" s="249" t="s">
        <v>759</v>
      </c>
      <c r="C185" s="248">
        <v>200</v>
      </c>
      <c r="D185" s="247">
        <v>90000</v>
      </c>
      <c r="F185" s="242"/>
    </row>
    <row r="186" spans="1:7" ht="63.75">
      <c r="A186" s="12" t="s">
        <v>440</v>
      </c>
      <c r="B186" s="249" t="s">
        <v>252</v>
      </c>
      <c r="C186" s="264" t="s">
        <v>89</v>
      </c>
      <c r="D186" s="250">
        <f>D187</f>
        <v>100000</v>
      </c>
      <c r="E186" s="334"/>
      <c r="F186" s="242"/>
      <c r="G186" s="349"/>
    </row>
    <row r="187" spans="1:7" ht="51">
      <c r="A187" s="33" t="s">
        <v>251</v>
      </c>
      <c r="B187" s="249" t="s">
        <v>250</v>
      </c>
      <c r="C187" s="264"/>
      <c r="D187" s="250">
        <f>D188</f>
        <v>100000</v>
      </c>
      <c r="E187" s="333"/>
      <c r="F187" s="242"/>
      <c r="G187" s="331"/>
    </row>
    <row r="188" spans="1:6" ht="51">
      <c r="A188" s="33" t="s">
        <v>249</v>
      </c>
      <c r="B188" s="249" t="s">
        <v>248</v>
      </c>
      <c r="C188" s="264"/>
      <c r="D188" s="250">
        <f>D189</f>
        <v>100000</v>
      </c>
      <c r="F188" s="242"/>
    </row>
    <row r="189" spans="1:6" ht="25.5">
      <c r="A189" s="246" t="s">
        <v>232</v>
      </c>
      <c r="B189" s="245" t="s">
        <v>248</v>
      </c>
      <c r="C189" s="244">
        <v>200</v>
      </c>
      <c r="D189" s="243">
        <v>100000</v>
      </c>
      <c r="F189" s="242"/>
    </row>
    <row r="190" spans="1:6" ht="51">
      <c r="A190" s="257" t="s">
        <v>482</v>
      </c>
      <c r="B190" s="335" t="s">
        <v>31</v>
      </c>
      <c r="C190" s="336" t="s">
        <v>89</v>
      </c>
      <c r="D190" s="223">
        <f>D191+D204+D208</f>
        <v>61718743.15</v>
      </c>
      <c r="F190" s="242"/>
    </row>
    <row r="191" spans="1:6" ht="63.75">
      <c r="A191" s="12" t="s">
        <v>49</v>
      </c>
      <c r="B191" s="252" t="s">
        <v>237</v>
      </c>
      <c r="C191" s="264" t="s">
        <v>89</v>
      </c>
      <c r="D191" s="250">
        <f>D192+D196+D201</f>
        <v>60018240</v>
      </c>
      <c r="F191" s="242"/>
    </row>
    <row r="192" spans="1:6" ht="25.5">
      <c r="A192" s="29" t="s">
        <v>236</v>
      </c>
      <c r="B192" s="249" t="s">
        <v>235</v>
      </c>
      <c r="C192" s="264"/>
      <c r="D192" s="250">
        <f>D193</f>
        <v>325802.67</v>
      </c>
      <c r="F192" s="242"/>
    </row>
    <row r="193" spans="1:6" ht="25.5">
      <c r="A193" s="33" t="s">
        <v>33</v>
      </c>
      <c r="B193" s="249" t="s">
        <v>234</v>
      </c>
      <c r="C193" s="264"/>
      <c r="D193" s="250">
        <f>D194+D195</f>
        <v>325802.67</v>
      </c>
      <c r="F193" s="242"/>
    </row>
    <row r="194" spans="1:6" ht="25.5">
      <c r="A194" s="13" t="s">
        <v>232</v>
      </c>
      <c r="B194" s="249" t="s">
        <v>234</v>
      </c>
      <c r="C194" s="191">
        <v>200</v>
      </c>
      <c r="D194" s="247"/>
      <c r="F194" s="242"/>
    </row>
    <row r="195" spans="1:6" ht="12.75">
      <c r="A195" s="13" t="s">
        <v>79</v>
      </c>
      <c r="B195" s="249" t="s">
        <v>234</v>
      </c>
      <c r="C195" s="248">
        <v>800</v>
      </c>
      <c r="D195" s="247">
        <v>325802.67</v>
      </c>
      <c r="F195" s="242"/>
    </row>
    <row r="196" spans="1:6" ht="25.5">
      <c r="A196" s="29" t="s">
        <v>233</v>
      </c>
      <c r="B196" s="249" t="s">
        <v>254</v>
      </c>
      <c r="C196" s="264"/>
      <c r="D196" s="250">
        <f>D199+D197</f>
        <v>59692437.33</v>
      </c>
      <c r="F196" s="242"/>
    </row>
    <row r="197" spans="1:6" ht="38.25">
      <c r="A197" s="144" t="s">
        <v>633</v>
      </c>
      <c r="B197" s="146" t="s">
        <v>152</v>
      </c>
      <c r="C197" s="145"/>
      <c r="D197" s="250">
        <f>D198</f>
        <v>57294342</v>
      </c>
      <c r="F197" s="242"/>
    </row>
    <row r="198" spans="1:6" ht="25.5">
      <c r="A198" s="148" t="s">
        <v>232</v>
      </c>
      <c r="B198" s="146" t="s">
        <v>152</v>
      </c>
      <c r="C198" s="145">
        <v>200</v>
      </c>
      <c r="D198" s="247">
        <v>57294342</v>
      </c>
      <c r="F198" s="242"/>
    </row>
    <row r="199" spans="1:6" ht="38.25">
      <c r="A199" s="74" t="s">
        <v>633</v>
      </c>
      <c r="B199" s="72" t="s">
        <v>632</v>
      </c>
      <c r="C199" s="248" t="s">
        <v>89</v>
      </c>
      <c r="D199" s="250">
        <f>D200</f>
        <v>2398095.33</v>
      </c>
      <c r="F199" s="242"/>
    </row>
    <row r="200" spans="1:6" ht="25.5">
      <c r="A200" s="13" t="s">
        <v>232</v>
      </c>
      <c r="B200" s="72" t="s">
        <v>632</v>
      </c>
      <c r="C200" s="248">
        <v>200</v>
      </c>
      <c r="D200" s="247">
        <v>2398095.33</v>
      </c>
      <c r="F200" s="242"/>
    </row>
    <row r="201" spans="1:6" ht="38.25" hidden="1">
      <c r="A201" s="13" t="s">
        <v>67</v>
      </c>
      <c r="B201" s="249" t="s">
        <v>68</v>
      </c>
      <c r="C201" s="248"/>
      <c r="D201" s="250">
        <f>D202</f>
        <v>0</v>
      </c>
      <c r="F201" s="242"/>
    </row>
    <row r="202" spans="1:6" ht="24" hidden="1">
      <c r="A202" s="23" t="s">
        <v>749</v>
      </c>
      <c r="B202" s="249" t="s">
        <v>750</v>
      </c>
      <c r="C202" s="248"/>
      <c r="D202" s="250">
        <f>D203</f>
        <v>0</v>
      </c>
      <c r="F202" s="242"/>
    </row>
    <row r="203" spans="1:6" ht="25.5" hidden="1">
      <c r="A203" s="287" t="s">
        <v>225</v>
      </c>
      <c r="B203" s="249" t="s">
        <v>750</v>
      </c>
      <c r="C203" s="248">
        <v>400</v>
      </c>
      <c r="D203" s="247"/>
      <c r="F203" s="242"/>
    </row>
    <row r="204" spans="1:6" ht="65.25" customHeight="1">
      <c r="A204" s="12" t="s">
        <v>264</v>
      </c>
      <c r="B204" s="252" t="s">
        <v>32</v>
      </c>
      <c r="C204" s="248"/>
      <c r="D204" s="250">
        <f>D205</f>
        <v>200272</v>
      </c>
      <c r="F204" s="242"/>
    </row>
    <row r="205" spans="1:6" ht="51">
      <c r="A205" s="29" t="s">
        <v>101</v>
      </c>
      <c r="B205" s="249" t="s">
        <v>453</v>
      </c>
      <c r="C205" s="248"/>
      <c r="D205" s="250">
        <f>D206</f>
        <v>200272</v>
      </c>
      <c r="F205" s="242"/>
    </row>
    <row r="206" spans="1:6" ht="25.5">
      <c r="A206" s="33" t="s">
        <v>352</v>
      </c>
      <c r="B206" s="249" t="s">
        <v>351</v>
      </c>
      <c r="C206" s="248"/>
      <c r="D206" s="250">
        <f>D207</f>
        <v>200272</v>
      </c>
      <c r="F206" s="242"/>
    </row>
    <row r="207" spans="1:6" ht="12.75">
      <c r="A207" s="29" t="s">
        <v>79</v>
      </c>
      <c r="B207" s="249" t="s">
        <v>351</v>
      </c>
      <c r="C207" s="248">
        <v>800</v>
      </c>
      <c r="D207" s="250">
        <v>200272</v>
      </c>
      <c r="F207" s="242"/>
    </row>
    <row r="208" spans="1:6" ht="25.5">
      <c r="A208" s="487" t="s">
        <v>898</v>
      </c>
      <c r="B208" s="252" t="s">
        <v>935</v>
      </c>
      <c r="C208" s="268"/>
      <c r="D208" s="250">
        <f>D209</f>
        <v>1500231.15</v>
      </c>
      <c r="F208" s="242"/>
    </row>
    <row r="209" spans="1:6" ht="38.25">
      <c r="A209" s="33" t="s">
        <v>899</v>
      </c>
      <c r="B209" s="249" t="s">
        <v>936</v>
      </c>
      <c r="C209" s="248"/>
      <c r="D209" s="250">
        <f>D210</f>
        <v>1500231.15</v>
      </c>
      <c r="F209" s="242"/>
    </row>
    <row r="210" spans="1:6" ht="12.75">
      <c r="A210" s="33" t="s">
        <v>900</v>
      </c>
      <c r="B210" s="249" t="s">
        <v>937</v>
      </c>
      <c r="C210" s="248"/>
      <c r="D210" s="250">
        <f>D211</f>
        <v>1500231.15</v>
      </c>
      <c r="F210" s="242"/>
    </row>
    <row r="211" spans="1:6" ht="25.5">
      <c r="A211" s="33" t="s">
        <v>232</v>
      </c>
      <c r="B211" s="249" t="s">
        <v>937</v>
      </c>
      <c r="C211" s="248">
        <v>200</v>
      </c>
      <c r="D211" s="250">
        <v>1500231.15</v>
      </c>
      <c r="F211" s="242"/>
    </row>
    <row r="212" spans="1:6" ht="51">
      <c r="A212" s="257" t="s">
        <v>300</v>
      </c>
      <c r="B212" s="224" t="s">
        <v>12</v>
      </c>
      <c r="C212" s="224"/>
      <c r="D212" s="223">
        <f>D213</f>
        <v>384700</v>
      </c>
      <c r="F212" s="242"/>
    </row>
    <row r="213" spans="1:6" ht="63.75">
      <c r="A213" s="12" t="s">
        <v>301</v>
      </c>
      <c r="B213" s="248" t="s">
        <v>13</v>
      </c>
      <c r="C213" s="248"/>
      <c r="D213" s="250">
        <f>D214+D217</f>
        <v>384700</v>
      </c>
      <c r="F213" s="242"/>
    </row>
    <row r="214" spans="1:6" ht="25.5">
      <c r="A214" s="78" t="s">
        <v>288</v>
      </c>
      <c r="B214" s="248" t="s">
        <v>112</v>
      </c>
      <c r="C214" s="248"/>
      <c r="D214" s="250">
        <f>D215</f>
        <v>50000</v>
      </c>
      <c r="F214" s="242"/>
    </row>
    <row r="215" spans="1:6" ht="24">
      <c r="A215" s="23" t="s">
        <v>275</v>
      </c>
      <c r="B215" s="76" t="s">
        <v>289</v>
      </c>
      <c r="C215" s="76"/>
      <c r="D215" s="80">
        <f>D216</f>
        <v>50000</v>
      </c>
      <c r="F215" s="242"/>
    </row>
    <row r="216" spans="1:6" ht="25.5">
      <c r="A216" s="78" t="s">
        <v>232</v>
      </c>
      <c r="B216" s="76" t="s">
        <v>289</v>
      </c>
      <c r="C216" s="76">
        <v>200</v>
      </c>
      <c r="D216" s="80">
        <v>50000</v>
      </c>
      <c r="F216" s="242"/>
    </row>
    <row r="217" spans="1:6" ht="25.5">
      <c r="A217" s="13" t="s">
        <v>290</v>
      </c>
      <c r="B217" s="248" t="s">
        <v>279</v>
      </c>
      <c r="C217" s="76"/>
      <c r="D217" s="80">
        <f>D218+D220</f>
        <v>334700</v>
      </c>
      <c r="F217" s="242"/>
    </row>
    <row r="218" spans="1:6" ht="38.25">
      <c r="A218" s="13" t="s">
        <v>111</v>
      </c>
      <c r="B218" s="248" t="s">
        <v>291</v>
      </c>
      <c r="C218" s="248"/>
      <c r="D218" s="250">
        <f>SUM(D219:D219)</f>
        <v>334700</v>
      </c>
      <c r="F218" s="242"/>
    </row>
    <row r="219" spans="1:6" ht="65.25" customHeight="1">
      <c r="A219" s="13" t="s">
        <v>740</v>
      </c>
      <c r="B219" s="248" t="s">
        <v>291</v>
      </c>
      <c r="C219" s="248">
        <v>100</v>
      </c>
      <c r="D219" s="247">
        <v>334700</v>
      </c>
      <c r="F219" s="242"/>
    </row>
    <row r="220" spans="1:6" ht="56.25" customHeight="1" hidden="1">
      <c r="A220" s="23" t="s">
        <v>275</v>
      </c>
      <c r="B220" s="248" t="s">
        <v>276</v>
      </c>
      <c r="C220" s="248"/>
      <c r="D220" s="250">
        <f>D221</f>
        <v>0</v>
      </c>
      <c r="F220" s="242"/>
    </row>
    <row r="221" spans="1:6" ht="25.5" hidden="1">
      <c r="A221" s="246" t="s">
        <v>232</v>
      </c>
      <c r="B221" s="244" t="s">
        <v>276</v>
      </c>
      <c r="C221" s="244">
        <v>200</v>
      </c>
      <c r="D221" s="243"/>
      <c r="F221" s="242"/>
    </row>
    <row r="222" spans="1:6" ht="51">
      <c r="A222" s="257" t="s">
        <v>486</v>
      </c>
      <c r="B222" s="335" t="s">
        <v>20</v>
      </c>
      <c r="C222" s="224" t="s">
        <v>89</v>
      </c>
      <c r="D222" s="223">
        <f>D223</f>
        <v>2681401</v>
      </c>
      <c r="F222" s="242"/>
    </row>
    <row r="223" spans="1:6" ht="76.5">
      <c r="A223" s="24" t="s">
        <v>298</v>
      </c>
      <c r="B223" s="249" t="s">
        <v>894</v>
      </c>
      <c r="C223" s="248"/>
      <c r="D223" s="250">
        <f>D224+D229</f>
        <v>2681401</v>
      </c>
      <c r="F223" s="242"/>
    </row>
    <row r="224" spans="1:6" ht="55.5" customHeight="1">
      <c r="A224" s="28" t="s">
        <v>263</v>
      </c>
      <c r="B224" s="249" t="s">
        <v>951</v>
      </c>
      <c r="C224" s="248"/>
      <c r="D224" s="250">
        <f>D225+D232</f>
        <v>2581401</v>
      </c>
      <c r="F224" s="242"/>
    </row>
    <row r="225" spans="1:6" ht="25.5">
      <c r="A225" s="251" t="s">
        <v>498</v>
      </c>
      <c r="B225" s="249" t="s">
        <v>946</v>
      </c>
      <c r="C225" s="248" t="s">
        <v>89</v>
      </c>
      <c r="D225" s="250">
        <f>SUM(D226:D228)</f>
        <v>2581401</v>
      </c>
      <c r="F225" s="242"/>
    </row>
    <row r="226" spans="1:6" ht="51">
      <c r="A226" s="13" t="s">
        <v>740</v>
      </c>
      <c r="B226" s="249" t="s">
        <v>946</v>
      </c>
      <c r="C226" s="248" t="s">
        <v>597</v>
      </c>
      <c r="D226" s="247">
        <v>2421686</v>
      </c>
      <c r="F226" s="242"/>
    </row>
    <row r="227" spans="1:6" ht="25.5">
      <c r="A227" s="13" t="s">
        <v>232</v>
      </c>
      <c r="B227" s="249" t="s">
        <v>946</v>
      </c>
      <c r="C227" s="248" t="s">
        <v>76</v>
      </c>
      <c r="D227" s="247">
        <v>158515</v>
      </c>
      <c r="F227" s="242"/>
    </row>
    <row r="228" spans="1:6" ht="12.75">
      <c r="A228" s="246" t="s">
        <v>79</v>
      </c>
      <c r="B228" s="249" t="s">
        <v>946</v>
      </c>
      <c r="C228" s="244" t="s">
        <v>80</v>
      </c>
      <c r="D228" s="243">
        <v>1200</v>
      </c>
      <c r="F228" s="242"/>
    </row>
    <row r="229" spans="1:6" ht="36">
      <c r="A229" s="23" t="s">
        <v>893</v>
      </c>
      <c r="B229" s="188" t="s">
        <v>895</v>
      </c>
      <c r="C229" s="302"/>
      <c r="D229" s="486">
        <f>D230</f>
        <v>100000</v>
      </c>
      <c r="F229" s="242"/>
    </row>
    <row r="230" spans="1:6" ht="24">
      <c r="A230" s="23" t="s">
        <v>275</v>
      </c>
      <c r="B230" s="188" t="s">
        <v>896</v>
      </c>
      <c r="C230" s="302"/>
      <c r="D230" s="486">
        <f>D231</f>
        <v>100000</v>
      </c>
      <c r="F230" s="242"/>
    </row>
    <row r="231" spans="1:6" ht="24">
      <c r="A231" s="23" t="s">
        <v>155</v>
      </c>
      <c r="B231" s="188" t="s">
        <v>896</v>
      </c>
      <c r="C231" s="485">
        <v>200</v>
      </c>
      <c r="D231" s="486">
        <v>100000</v>
      </c>
      <c r="F231" s="242"/>
    </row>
    <row r="232" spans="1:6" ht="25.5">
      <c r="A232" s="203" t="s">
        <v>875</v>
      </c>
      <c r="B232" s="188" t="s">
        <v>876</v>
      </c>
      <c r="C232" s="399"/>
      <c r="D232" s="306">
        <f>D233</f>
        <v>0</v>
      </c>
      <c r="F232" s="242"/>
    </row>
    <row r="233" spans="1:6" ht="25.5">
      <c r="A233" s="203" t="s">
        <v>232</v>
      </c>
      <c r="B233" s="188" t="s">
        <v>876</v>
      </c>
      <c r="C233" s="244">
        <v>200</v>
      </c>
      <c r="D233" s="243"/>
      <c r="F233" s="242"/>
    </row>
    <row r="234" spans="1:6" ht="25.5">
      <c r="A234" s="257" t="s">
        <v>175</v>
      </c>
      <c r="B234" s="335" t="s">
        <v>698</v>
      </c>
      <c r="C234" s="336" t="s">
        <v>89</v>
      </c>
      <c r="D234" s="223">
        <f>D235+D239</f>
        <v>4131676</v>
      </c>
      <c r="F234" s="242"/>
    </row>
    <row r="235" spans="1:6" ht="38.25">
      <c r="A235" s="12" t="s">
        <v>395</v>
      </c>
      <c r="B235" s="249" t="s">
        <v>121</v>
      </c>
      <c r="C235" s="264" t="s">
        <v>89</v>
      </c>
      <c r="D235" s="250">
        <f>D236</f>
        <v>55000</v>
      </c>
      <c r="F235" s="242"/>
    </row>
    <row r="236" spans="1:6" ht="38.25">
      <c r="A236" s="28" t="s">
        <v>120</v>
      </c>
      <c r="B236" s="249" t="s">
        <v>122</v>
      </c>
      <c r="C236" s="264"/>
      <c r="D236" s="250">
        <f>D237</f>
        <v>55000</v>
      </c>
      <c r="F236" s="242"/>
    </row>
    <row r="237" spans="1:6" ht="12.75">
      <c r="A237" s="33" t="s">
        <v>123</v>
      </c>
      <c r="B237" s="249" t="s">
        <v>124</v>
      </c>
      <c r="C237" s="264" t="s">
        <v>89</v>
      </c>
      <c r="D237" s="250">
        <f>D238</f>
        <v>55000</v>
      </c>
      <c r="F237" s="242"/>
    </row>
    <row r="238" spans="1:6" ht="12.75">
      <c r="A238" s="13" t="s">
        <v>497</v>
      </c>
      <c r="B238" s="249" t="s">
        <v>124</v>
      </c>
      <c r="C238" s="248" t="s">
        <v>84</v>
      </c>
      <c r="D238" s="247">
        <v>55000</v>
      </c>
      <c r="F238" s="242"/>
    </row>
    <row r="239" spans="1:6" ht="38.25">
      <c r="A239" s="12" t="s">
        <v>177</v>
      </c>
      <c r="B239" s="248" t="s">
        <v>699</v>
      </c>
      <c r="C239" s="248" t="s">
        <v>89</v>
      </c>
      <c r="D239" s="250">
        <f>D240</f>
        <v>4076676</v>
      </c>
      <c r="F239" s="242"/>
    </row>
    <row r="240" spans="1:6" ht="38.25">
      <c r="A240" s="28" t="s">
        <v>599</v>
      </c>
      <c r="B240" s="248" t="s">
        <v>316</v>
      </c>
      <c r="C240" s="248"/>
      <c r="D240" s="250">
        <f>D241</f>
        <v>4076676</v>
      </c>
      <c r="F240" s="242"/>
    </row>
    <row r="241" spans="1:6" ht="27.75" customHeight="1">
      <c r="A241" s="251" t="s">
        <v>736</v>
      </c>
      <c r="B241" s="248" t="s">
        <v>700</v>
      </c>
      <c r="C241" s="248" t="s">
        <v>89</v>
      </c>
      <c r="D241" s="250">
        <f>SUM(D242:D244)</f>
        <v>4076676</v>
      </c>
      <c r="F241" s="242"/>
    </row>
    <row r="242" spans="1:6" ht="51">
      <c r="A242" s="13" t="s">
        <v>740</v>
      </c>
      <c r="B242" s="248" t="s">
        <v>700</v>
      </c>
      <c r="C242" s="248">
        <v>100</v>
      </c>
      <c r="D242" s="247">
        <v>3991777</v>
      </c>
      <c r="F242" s="242"/>
    </row>
    <row r="243" spans="1:6" ht="25.5">
      <c r="A243" s="13" t="s">
        <v>232</v>
      </c>
      <c r="B243" s="248" t="s">
        <v>700</v>
      </c>
      <c r="C243" s="248" t="s">
        <v>76</v>
      </c>
      <c r="D243" s="247">
        <v>84899</v>
      </c>
      <c r="F243" s="242"/>
    </row>
    <row r="244" spans="1:6" ht="12.75">
      <c r="A244" s="246" t="s">
        <v>79</v>
      </c>
      <c r="B244" s="244" t="s">
        <v>700</v>
      </c>
      <c r="C244" s="244">
        <v>800</v>
      </c>
      <c r="D244" s="243"/>
      <c r="F244" s="242"/>
    </row>
    <row r="245" spans="1:6" ht="38.25">
      <c r="A245" s="257" t="s">
        <v>50</v>
      </c>
      <c r="B245" s="255" t="s">
        <v>635</v>
      </c>
      <c r="C245" s="348"/>
      <c r="D245" s="253">
        <f>D246</f>
        <v>20000</v>
      </c>
      <c r="F245" s="242"/>
    </row>
    <row r="246" spans="1:6" ht="24">
      <c r="A246" s="23" t="s">
        <v>638</v>
      </c>
      <c r="B246" s="249" t="s">
        <v>637</v>
      </c>
      <c r="C246" s="295"/>
      <c r="D246" s="250">
        <f>D247</f>
        <v>20000</v>
      </c>
      <c r="F246" s="242"/>
    </row>
    <row r="247" spans="1:6" ht="38.25">
      <c r="A247" s="20" t="s">
        <v>636</v>
      </c>
      <c r="B247" s="249" t="s">
        <v>100</v>
      </c>
      <c r="C247" s="295"/>
      <c r="D247" s="250">
        <f>D248</f>
        <v>20000</v>
      </c>
      <c r="F247" s="242"/>
    </row>
    <row r="248" spans="1:6" ht="12.75">
      <c r="A248" s="347" t="s">
        <v>79</v>
      </c>
      <c r="B248" s="245" t="s">
        <v>100</v>
      </c>
      <c r="C248" s="346">
        <v>800</v>
      </c>
      <c r="D248" s="243">
        <v>20000</v>
      </c>
      <c r="F248" s="242"/>
    </row>
    <row r="249" spans="1:6" ht="25.5">
      <c r="A249" s="257" t="s">
        <v>707</v>
      </c>
      <c r="B249" s="335" t="s">
        <v>22</v>
      </c>
      <c r="C249" s="224" t="s">
        <v>89</v>
      </c>
      <c r="D249" s="223">
        <f>D250+D254</f>
        <v>423000</v>
      </c>
      <c r="F249" s="242"/>
    </row>
    <row r="250" spans="1:6" ht="38.25">
      <c r="A250" s="12" t="s">
        <v>589</v>
      </c>
      <c r="B250" s="249" t="s">
        <v>23</v>
      </c>
      <c r="C250" s="248"/>
      <c r="D250" s="250">
        <f>D251</f>
        <v>88300</v>
      </c>
      <c r="F250" s="242"/>
    </row>
    <row r="251" spans="1:6" ht="38.25">
      <c r="A251" s="29" t="s">
        <v>519</v>
      </c>
      <c r="B251" s="249" t="s">
        <v>24</v>
      </c>
      <c r="C251" s="248"/>
      <c r="D251" s="250">
        <f>D252</f>
        <v>88300</v>
      </c>
      <c r="F251" s="242"/>
    </row>
    <row r="252" spans="1:6" ht="25.5">
      <c r="A252" s="13" t="s">
        <v>706</v>
      </c>
      <c r="B252" s="249" t="s">
        <v>25</v>
      </c>
      <c r="C252" s="248"/>
      <c r="D252" s="250">
        <f>D253</f>
        <v>88300</v>
      </c>
      <c r="F252" s="242"/>
    </row>
    <row r="253" spans="1:6" ht="21.75" customHeight="1">
      <c r="A253" s="13" t="s">
        <v>92</v>
      </c>
      <c r="B253" s="249" t="s">
        <v>25</v>
      </c>
      <c r="C253" s="248">
        <v>600</v>
      </c>
      <c r="D253" s="247">
        <v>88300</v>
      </c>
      <c r="F253" s="242"/>
    </row>
    <row r="254" spans="1:6" ht="39" customHeight="1">
      <c r="A254" s="12" t="s">
        <v>590</v>
      </c>
      <c r="B254" s="249" t="s">
        <v>28</v>
      </c>
      <c r="C254" s="248"/>
      <c r="D254" s="250">
        <f>D255</f>
        <v>334700</v>
      </c>
      <c r="F254" s="242"/>
    </row>
    <row r="255" spans="1:6" ht="38.25">
      <c r="A255" s="28" t="s">
        <v>457</v>
      </c>
      <c r="B255" s="249" t="s">
        <v>29</v>
      </c>
      <c r="C255" s="248"/>
      <c r="D255" s="250">
        <f>D256</f>
        <v>334700</v>
      </c>
      <c r="F255" s="242"/>
    </row>
    <row r="256" spans="1:6" ht="25.5">
      <c r="A256" s="251" t="s">
        <v>474</v>
      </c>
      <c r="B256" s="249" t="s">
        <v>30</v>
      </c>
      <c r="C256" s="264" t="s">
        <v>89</v>
      </c>
      <c r="D256" s="250">
        <f>D257+D258</f>
        <v>334700</v>
      </c>
      <c r="F256" s="242"/>
    </row>
    <row r="257" spans="1:6" ht="51">
      <c r="A257" s="246" t="s">
        <v>740</v>
      </c>
      <c r="B257" s="245" t="s">
        <v>30</v>
      </c>
      <c r="C257" s="244">
        <v>100</v>
      </c>
      <c r="D257" s="250">
        <v>331700</v>
      </c>
      <c r="F257" s="242"/>
    </row>
    <row r="258" spans="1:6" ht="25.5">
      <c r="A258" s="70" t="s">
        <v>232</v>
      </c>
      <c r="B258" s="245" t="s">
        <v>30</v>
      </c>
      <c r="C258" s="244">
        <v>200</v>
      </c>
      <c r="D258" s="243">
        <v>3000</v>
      </c>
      <c r="F258" s="242"/>
    </row>
    <row r="259" spans="1:6" ht="38.25">
      <c r="A259" s="257" t="s">
        <v>481</v>
      </c>
      <c r="B259" s="335" t="s">
        <v>643</v>
      </c>
      <c r="C259" s="224"/>
      <c r="D259" s="223">
        <f>D260+D265</f>
        <v>5630939</v>
      </c>
      <c r="F259" s="242"/>
    </row>
    <row r="260" spans="1:6" ht="25.5">
      <c r="A260" s="26" t="s">
        <v>714</v>
      </c>
      <c r="B260" s="249" t="s">
        <v>340</v>
      </c>
      <c r="C260" s="248"/>
      <c r="D260" s="250">
        <f>D261+D263</f>
        <v>5630939</v>
      </c>
      <c r="F260" s="242"/>
    </row>
    <row r="261" spans="1:6" ht="51" hidden="1">
      <c r="A261" s="20" t="s">
        <v>404</v>
      </c>
      <c r="B261" s="249" t="s">
        <v>405</v>
      </c>
      <c r="C261" s="248"/>
      <c r="D261" s="250">
        <f>D262</f>
        <v>0</v>
      </c>
      <c r="F261" s="242"/>
    </row>
    <row r="262" spans="1:6" ht="12.75" hidden="1">
      <c r="A262" s="216" t="s">
        <v>79</v>
      </c>
      <c r="B262" s="249" t="s">
        <v>405</v>
      </c>
      <c r="C262" s="248">
        <v>800</v>
      </c>
      <c r="D262" s="250"/>
      <c r="F262" s="242"/>
    </row>
    <row r="263" spans="1:6" ht="25.5">
      <c r="A263" s="70" t="s">
        <v>342</v>
      </c>
      <c r="B263" s="249" t="s">
        <v>341</v>
      </c>
      <c r="C263" s="248"/>
      <c r="D263" s="250">
        <f>D264</f>
        <v>5630939</v>
      </c>
      <c r="F263" s="242"/>
    </row>
    <row r="264" spans="1:6" ht="25.5">
      <c r="A264" s="70" t="s">
        <v>232</v>
      </c>
      <c r="B264" s="249" t="s">
        <v>341</v>
      </c>
      <c r="C264" s="248">
        <v>200</v>
      </c>
      <c r="D264" s="250">
        <v>5630939</v>
      </c>
      <c r="F264" s="242"/>
    </row>
    <row r="265" spans="1:6" ht="25.5" hidden="1">
      <c r="A265" s="203" t="s">
        <v>879</v>
      </c>
      <c r="B265" s="192" t="s">
        <v>880</v>
      </c>
      <c r="C265" s="248"/>
      <c r="D265" s="250">
        <f>D266</f>
        <v>0</v>
      </c>
      <c r="F265" s="242"/>
    </row>
    <row r="266" spans="1:6" ht="25.5" hidden="1">
      <c r="A266" s="203" t="s">
        <v>232</v>
      </c>
      <c r="B266" s="192" t="s">
        <v>880</v>
      </c>
      <c r="C266" s="228">
        <v>200</v>
      </c>
      <c r="D266" s="484"/>
      <c r="F266" s="242"/>
    </row>
    <row r="267" spans="1:6" ht="38.25">
      <c r="A267" s="345" t="s">
        <v>718</v>
      </c>
      <c r="B267" s="344" t="s">
        <v>113</v>
      </c>
      <c r="C267" s="344"/>
      <c r="D267" s="343">
        <f>D268</f>
        <v>30000</v>
      </c>
      <c r="F267" s="242"/>
    </row>
    <row r="268" spans="1:7" ht="51">
      <c r="A268" s="342" t="s">
        <v>719</v>
      </c>
      <c r="B268" s="339" t="s">
        <v>114</v>
      </c>
      <c r="C268" s="339"/>
      <c r="D268" s="341">
        <f>D269</f>
        <v>30000</v>
      </c>
      <c r="E268" s="337"/>
      <c r="F268" s="242"/>
      <c r="G268" s="331"/>
    </row>
    <row r="269" spans="1:6" ht="25.5">
      <c r="A269" s="340" t="s">
        <v>115</v>
      </c>
      <c r="B269" s="339" t="s">
        <v>116</v>
      </c>
      <c r="C269" s="339"/>
      <c r="D269" s="341">
        <f>D270</f>
        <v>30000</v>
      </c>
      <c r="F269" s="242"/>
    </row>
    <row r="270" spans="1:6" ht="38.25">
      <c r="A270" s="340" t="s">
        <v>118</v>
      </c>
      <c r="B270" s="339" t="s">
        <v>117</v>
      </c>
      <c r="C270" s="339"/>
      <c r="D270" s="341">
        <f>D271</f>
        <v>30000</v>
      </c>
      <c r="F270" s="242"/>
    </row>
    <row r="271" spans="1:6" ht="25.5">
      <c r="A271" s="340" t="s">
        <v>232</v>
      </c>
      <c r="B271" s="339" t="s">
        <v>117</v>
      </c>
      <c r="C271" s="339">
        <v>200</v>
      </c>
      <c r="D271" s="338">
        <v>30000</v>
      </c>
      <c r="F271" s="242"/>
    </row>
    <row r="272" spans="1:6" ht="25.5">
      <c r="A272" s="257" t="s">
        <v>588</v>
      </c>
      <c r="B272" s="224" t="s">
        <v>691</v>
      </c>
      <c r="C272" s="224" t="s">
        <v>89</v>
      </c>
      <c r="D272" s="223">
        <f>D273</f>
        <v>1314352</v>
      </c>
      <c r="F272" s="242"/>
    </row>
    <row r="273" spans="1:6" ht="12.75">
      <c r="A273" s="13" t="s">
        <v>361</v>
      </c>
      <c r="B273" s="248" t="s">
        <v>692</v>
      </c>
      <c r="C273" s="248" t="s">
        <v>89</v>
      </c>
      <c r="D273" s="250">
        <f>D274</f>
        <v>1314352</v>
      </c>
      <c r="F273" s="242"/>
    </row>
    <row r="274" spans="1:6" ht="25.5">
      <c r="A274" s="251" t="s">
        <v>736</v>
      </c>
      <c r="B274" s="248" t="s">
        <v>693</v>
      </c>
      <c r="C274" s="248" t="s">
        <v>89</v>
      </c>
      <c r="D274" s="250">
        <f>D275</f>
        <v>1314352</v>
      </c>
      <c r="F274" s="242"/>
    </row>
    <row r="275" spans="1:6" ht="51">
      <c r="A275" s="246" t="s">
        <v>740</v>
      </c>
      <c r="B275" s="244" t="s">
        <v>693</v>
      </c>
      <c r="C275" s="244" t="s">
        <v>597</v>
      </c>
      <c r="D275" s="243">
        <v>1314352</v>
      </c>
      <c r="F275" s="242"/>
    </row>
    <row r="276" spans="1:6" ht="12.75">
      <c r="A276" s="257" t="s">
        <v>473</v>
      </c>
      <c r="B276" s="224" t="s">
        <v>694</v>
      </c>
      <c r="C276" s="224" t="s">
        <v>89</v>
      </c>
      <c r="D276" s="223">
        <f>D277</f>
        <v>12521056</v>
      </c>
      <c r="F276" s="242"/>
    </row>
    <row r="277" spans="1:6" ht="12.75">
      <c r="A277" s="13" t="s">
        <v>477</v>
      </c>
      <c r="B277" s="248" t="s">
        <v>695</v>
      </c>
      <c r="C277" s="248" t="s">
        <v>89</v>
      </c>
      <c r="D277" s="250">
        <f>D278+D281</f>
        <v>12521056</v>
      </c>
      <c r="F277" s="242"/>
    </row>
    <row r="278" spans="1:6" ht="38.25">
      <c r="A278" s="13" t="s">
        <v>297</v>
      </c>
      <c r="B278" s="248" t="s">
        <v>696</v>
      </c>
      <c r="C278" s="248"/>
      <c r="D278" s="250">
        <f>SUM(D279:D280)</f>
        <v>334700</v>
      </c>
      <c r="F278" s="242"/>
    </row>
    <row r="279" spans="1:6" ht="51">
      <c r="A279" s="13" t="s">
        <v>740</v>
      </c>
      <c r="B279" s="248" t="s">
        <v>696</v>
      </c>
      <c r="C279" s="248">
        <v>100</v>
      </c>
      <c r="D279" s="247">
        <v>300582</v>
      </c>
      <c r="F279" s="242"/>
    </row>
    <row r="280" spans="1:6" ht="25.5">
      <c r="A280" s="13" t="s">
        <v>232</v>
      </c>
      <c r="B280" s="248" t="s">
        <v>696</v>
      </c>
      <c r="C280" s="248">
        <v>200</v>
      </c>
      <c r="D280" s="247">
        <v>34118</v>
      </c>
      <c r="F280" s="242"/>
    </row>
    <row r="281" spans="1:6" ht="25.5">
      <c r="A281" s="251" t="s">
        <v>736</v>
      </c>
      <c r="B281" s="248" t="s">
        <v>697</v>
      </c>
      <c r="C281" s="248" t="s">
        <v>89</v>
      </c>
      <c r="D281" s="250">
        <f>SUM(D282:D284)</f>
        <v>12186356</v>
      </c>
      <c r="F281" s="242"/>
    </row>
    <row r="282" spans="1:6" ht="51">
      <c r="A282" s="13" t="s">
        <v>740</v>
      </c>
      <c r="B282" s="248" t="s">
        <v>697</v>
      </c>
      <c r="C282" s="248">
        <v>100</v>
      </c>
      <c r="D282" s="247">
        <v>11401730</v>
      </c>
      <c r="F282" s="242"/>
    </row>
    <row r="283" spans="1:6" ht="25.5">
      <c r="A283" s="13" t="s">
        <v>232</v>
      </c>
      <c r="B283" s="248" t="s">
        <v>697</v>
      </c>
      <c r="C283" s="248">
        <v>200</v>
      </c>
      <c r="D283" s="247">
        <v>661440</v>
      </c>
      <c r="F283" s="242"/>
    </row>
    <row r="284" spans="1:6" ht="12.75">
      <c r="A284" s="246" t="s">
        <v>79</v>
      </c>
      <c r="B284" s="244" t="s">
        <v>697</v>
      </c>
      <c r="C284" s="244">
        <v>800</v>
      </c>
      <c r="D284" s="243">
        <v>123186</v>
      </c>
      <c r="F284" s="242"/>
    </row>
    <row r="285" spans="1:6" ht="25.5">
      <c r="A285" s="257" t="s">
        <v>173</v>
      </c>
      <c r="B285" s="335" t="s">
        <v>701</v>
      </c>
      <c r="C285" s="224" t="s">
        <v>89</v>
      </c>
      <c r="D285" s="223">
        <f>D286+D289</f>
        <v>995677</v>
      </c>
      <c r="F285" s="242"/>
    </row>
    <row r="286" spans="1:6" ht="25.5">
      <c r="A286" s="12" t="s">
        <v>174</v>
      </c>
      <c r="B286" s="252" t="s">
        <v>702</v>
      </c>
      <c r="C286" s="248" t="s">
        <v>89</v>
      </c>
      <c r="D286" s="250">
        <f>D287</f>
        <v>638524</v>
      </c>
      <c r="F286" s="242"/>
    </row>
    <row r="287" spans="1:6" ht="25.5">
      <c r="A287" s="251" t="s">
        <v>736</v>
      </c>
      <c r="B287" s="249" t="s">
        <v>703</v>
      </c>
      <c r="C287" s="248"/>
      <c r="D287" s="250">
        <f>SUM(D288:D288)</f>
        <v>638524</v>
      </c>
      <c r="F287" s="242"/>
    </row>
    <row r="288" spans="1:6" ht="51">
      <c r="A288" s="13" t="s">
        <v>740</v>
      </c>
      <c r="B288" s="249" t="s">
        <v>703</v>
      </c>
      <c r="C288" s="248">
        <v>100</v>
      </c>
      <c r="D288" s="250">
        <v>638524</v>
      </c>
      <c r="F288" s="242"/>
    </row>
    <row r="289" spans="1:6" ht="25.5">
      <c r="A289" s="13" t="s">
        <v>42</v>
      </c>
      <c r="B289" s="252" t="s">
        <v>41</v>
      </c>
      <c r="C289" s="248"/>
      <c r="D289" s="250">
        <f>D290</f>
        <v>357153</v>
      </c>
      <c r="F289" s="242"/>
    </row>
    <row r="290" spans="1:6" ht="25.5">
      <c r="A290" s="251" t="s">
        <v>736</v>
      </c>
      <c r="B290" s="249" t="s">
        <v>40</v>
      </c>
      <c r="C290" s="248"/>
      <c r="D290" s="250">
        <f>SUM(D291:D292)</f>
        <v>357153</v>
      </c>
      <c r="F290" s="242"/>
    </row>
    <row r="291" spans="1:6" ht="51">
      <c r="A291" s="13" t="s">
        <v>740</v>
      </c>
      <c r="B291" s="249" t="s">
        <v>40</v>
      </c>
      <c r="C291" s="248">
        <v>100</v>
      </c>
      <c r="D291" s="247">
        <v>347153</v>
      </c>
      <c r="F291" s="242"/>
    </row>
    <row r="292" spans="1:6" ht="25.5">
      <c r="A292" s="246" t="s">
        <v>232</v>
      </c>
      <c r="B292" s="245" t="s">
        <v>40</v>
      </c>
      <c r="C292" s="244">
        <v>200</v>
      </c>
      <c r="D292" s="243">
        <v>10000</v>
      </c>
      <c r="F292" s="242"/>
    </row>
    <row r="293" spans="1:6" ht="25.5">
      <c r="A293" s="257" t="s">
        <v>525</v>
      </c>
      <c r="B293" s="335" t="s">
        <v>524</v>
      </c>
      <c r="C293" s="336" t="s">
        <v>89</v>
      </c>
      <c r="D293" s="223">
        <f>D294</f>
        <v>76100</v>
      </c>
      <c r="F293" s="242"/>
    </row>
    <row r="294" spans="1:6" ht="12.75">
      <c r="A294" s="13" t="s">
        <v>523</v>
      </c>
      <c r="B294" s="249" t="s">
        <v>522</v>
      </c>
      <c r="C294" s="264"/>
      <c r="D294" s="250">
        <f>D295+D297</f>
        <v>76100</v>
      </c>
      <c r="F294" s="242"/>
    </row>
    <row r="295" spans="1:6" ht="25.5">
      <c r="A295" s="251" t="s">
        <v>38</v>
      </c>
      <c r="B295" s="249" t="s">
        <v>721</v>
      </c>
      <c r="C295" s="248"/>
      <c r="D295" s="250">
        <f>D296</f>
        <v>59900</v>
      </c>
      <c r="F295" s="242"/>
    </row>
    <row r="296" spans="1:6" ht="12.75">
      <c r="A296" s="13" t="s">
        <v>79</v>
      </c>
      <c r="B296" s="249" t="s">
        <v>721</v>
      </c>
      <c r="C296" s="248">
        <v>800</v>
      </c>
      <c r="D296" s="250">
        <v>59900</v>
      </c>
      <c r="F296" s="242"/>
    </row>
    <row r="297" spans="1:7" ht="25.5">
      <c r="A297" s="33" t="s">
        <v>521</v>
      </c>
      <c r="B297" s="249" t="s">
        <v>520</v>
      </c>
      <c r="C297" s="264" t="s">
        <v>89</v>
      </c>
      <c r="D297" s="250">
        <f>D298</f>
        <v>16200</v>
      </c>
      <c r="E297" s="330"/>
      <c r="F297" s="242"/>
      <c r="G297" s="331"/>
    </row>
    <row r="298" spans="1:7" ht="25.5">
      <c r="A298" s="246" t="s">
        <v>93</v>
      </c>
      <c r="B298" s="245" t="s">
        <v>520</v>
      </c>
      <c r="C298" s="244">
        <v>200</v>
      </c>
      <c r="D298" s="243">
        <v>16200</v>
      </c>
      <c r="E298" s="330"/>
      <c r="F298" s="242"/>
      <c r="G298" s="331"/>
    </row>
    <row r="299" spans="1:7" ht="25.5">
      <c r="A299" s="257" t="s">
        <v>631</v>
      </c>
      <c r="B299" s="335" t="s">
        <v>14</v>
      </c>
      <c r="C299" s="224"/>
      <c r="D299" s="223">
        <f>D300</f>
        <v>24712830</v>
      </c>
      <c r="E299" s="330"/>
      <c r="F299" s="242"/>
      <c r="G299" s="331"/>
    </row>
    <row r="300" spans="1:7" ht="12.75">
      <c r="A300" s="12" t="s">
        <v>641</v>
      </c>
      <c r="B300" s="252" t="s">
        <v>16</v>
      </c>
      <c r="C300" s="248"/>
      <c r="D300" s="250">
        <f>D301+D303+D306+D313+D320+D324+D327+D329+D333+D331</f>
        <v>24712830</v>
      </c>
      <c r="E300" s="330"/>
      <c r="F300" s="242"/>
      <c r="G300" s="331"/>
    </row>
    <row r="301" spans="1:7" ht="25.5">
      <c r="A301" s="27" t="s">
        <v>773</v>
      </c>
      <c r="B301" s="249" t="s">
        <v>47</v>
      </c>
      <c r="C301" s="248"/>
      <c r="D301" s="250">
        <f>D302</f>
        <v>1084220</v>
      </c>
      <c r="E301" s="330"/>
      <c r="F301" s="242"/>
      <c r="G301" s="331"/>
    </row>
    <row r="302" spans="1:7" ht="25.5">
      <c r="A302" s="13" t="s">
        <v>93</v>
      </c>
      <c r="B302" s="249" t="s">
        <v>47</v>
      </c>
      <c r="C302" s="248">
        <v>200</v>
      </c>
      <c r="D302" s="247">
        <v>1084220</v>
      </c>
      <c r="E302" s="330"/>
      <c r="F302" s="242"/>
      <c r="G302" s="331"/>
    </row>
    <row r="303" spans="1:7" ht="51">
      <c r="A303" s="27" t="s">
        <v>772</v>
      </c>
      <c r="B303" s="249" t="s">
        <v>48</v>
      </c>
      <c r="C303" s="249"/>
      <c r="D303" s="250">
        <f>D304+D305</f>
        <v>167350</v>
      </c>
      <c r="E303" s="330"/>
      <c r="F303" s="242"/>
      <c r="G303" s="331"/>
    </row>
    <row r="304" spans="1:7" ht="51">
      <c r="A304" s="13" t="s">
        <v>740</v>
      </c>
      <c r="B304" s="249" t="s">
        <v>48</v>
      </c>
      <c r="C304" s="249">
        <v>100</v>
      </c>
      <c r="D304" s="247">
        <v>124992</v>
      </c>
      <c r="E304" s="330"/>
      <c r="F304" s="242"/>
      <c r="G304" s="331"/>
    </row>
    <row r="305" spans="1:7" ht="25.5">
      <c r="A305" s="13" t="s">
        <v>93</v>
      </c>
      <c r="B305" s="249" t="s">
        <v>48</v>
      </c>
      <c r="C305" s="249">
        <v>200</v>
      </c>
      <c r="D305" s="247">
        <v>42358</v>
      </c>
      <c r="E305" s="330"/>
      <c r="F305" s="242"/>
      <c r="G305" s="331"/>
    </row>
    <row r="306" spans="1:7" ht="12.75" hidden="1">
      <c r="A306" s="13" t="s">
        <v>723</v>
      </c>
      <c r="B306" s="249" t="s">
        <v>403</v>
      </c>
      <c r="C306" s="248"/>
      <c r="D306" s="250">
        <f>D307+D309+D311</f>
        <v>0</v>
      </c>
      <c r="E306" s="330"/>
      <c r="F306" s="242"/>
      <c r="G306" s="331"/>
    </row>
    <row r="307" spans="1:7" ht="38.25" hidden="1">
      <c r="A307" s="203" t="s">
        <v>52</v>
      </c>
      <c r="B307" s="192" t="s">
        <v>51</v>
      </c>
      <c r="C307" s="191"/>
      <c r="D307" s="202">
        <f>D308</f>
        <v>0</v>
      </c>
      <c r="E307" s="330"/>
      <c r="F307" s="242"/>
      <c r="G307" s="331"/>
    </row>
    <row r="308" spans="1:7" ht="25.5" hidden="1">
      <c r="A308" s="203" t="s">
        <v>232</v>
      </c>
      <c r="B308" s="192" t="s">
        <v>51</v>
      </c>
      <c r="C308" s="191">
        <v>200</v>
      </c>
      <c r="D308" s="202"/>
      <c r="E308" s="330"/>
      <c r="F308" s="242"/>
      <c r="G308" s="331"/>
    </row>
    <row r="309" spans="1:7" ht="38.25" hidden="1">
      <c r="A309" s="203" t="s">
        <v>53</v>
      </c>
      <c r="B309" s="192" t="s">
        <v>54</v>
      </c>
      <c r="C309" s="191"/>
      <c r="D309" s="202">
        <f>D310</f>
        <v>0</v>
      </c>
      <c r="E309" s="330"/>
      <c r="F309" s="242"/>
      <c r="G309" s="331"/>
    </row>
    <row r="310" spans="1:7" ht="25.5" hidden="1">
      <c r="A310" s="203" t="s">
        <v>232</v>
      </c>
      <c r="B310" s="192" t="s">
        <v>54</v>
      </c>
      <c r="C310" s="191">
        <v>200</v>
      </c>
      <c r="D310" s="202"/>
      <c r="E310" s="330"/>
      <c r="F310" s="242"/>
      <c r="G310" s="331"/>
    </row>
    <row r="311" spans="1:7" ht="38.25" hidden="1">
      <c r="A311" s="203" t="s">
        <v>55</v>
      </c>
      <c r="B311" s="192" t="s">
        <v>56</v>
      </c>
      <c r="C311" s="191"/>
      <c r="D311" s="202">
        <f>D312</f>
        <v>0</v>
      </c>
      <c r="E311" s="330"/>
      <c r="F311" s="242"/>
      <c r="G311" s="331"/>
    </row>
    <row r="312" spans="1:6" ht="25.5" hidden="1">
      <c r="A312" s="203" t="s">
        <v>232</v>
      </c>
      <c r="B312" s="192" t="s">
        <v>56</v>
      </c>
      <c r="C312" s="191">
        <v>200</v>
      </c>
      <c r="D312" s="202"/>
      <c r="F312" s="242"/>
    </row>
    <row r="313" spans="1:6" ht="12.75" hidden="1">
      <c r="A313" s="28" t="s">
        <v>753</v>
      </c>
      <c r="B313" s="249" t="s">
        <v>402</v>
      </c>
      <c r="C313" s="248"/>
      <c r="D313" s="250">
        <f>D314+D316+D318</f>
        <v>0</v>
      </c>
      <c r="F313" s="242"/>
    </row>
    <row r="314" spans="1:6" ht="38.25" hidden="1">
      <c r="A314" s="28" t="s">
        <v>57</v>
      </c>
      <c r="B314" s="192" t="s">
        <v>58</v>
      </c>
      <c r="C314" s="191"/>
      <c r="D314" s="202">
        <f>D315</f>
        <v>0</v>
      </c>
      <c r="F314" s="242"/>
    </row>
    <row r="315" spans="1:6" ht="25.5" hidden="1">
      <c r="A315" s="203" t="s">
        <v>232</v>
      </c>
      <c r="B315" s="192" t="s">
        <v>58</v>
      </c>
      <c r="C315" s="191">
        <v>200</v>
      </c>
      <c r="D315" s="202"/>
      <c r="F315" s="242"/>
    </row>
    <row r="316" spans="1:6" ht="38.25" hidden="1">
      <c r="A316" s="28" t="s">
        <v>59</v>
      </c>
      <c r="B316" s="192" t="s">
        <v>60</v>
      </c>
      <c r="C316" s="191"/>
      <c r="D316" s="202">
        <f>D317</f>
        <v>0</v>
      </c>
      <c r="F316" s="242"/>
    </row>
    <row r="317" spans="1:6" ht="25.5" hidden="1">
      <c r="A317" s="203" t="s">
        <v>232</v>
      </c>
      <c r="B317" s="192" t="s">
        <v>60</v>
      </c>
      <c r="C317" s="191">
        <v>200</v>
      </c>
      <c r="D317" s="202"/>
      <c r="F317" s="242"/>
    </row>
    <row r="318" spans="1:6" ht="38.25" hidden="1">
      <c r="A318" s="28" t="s">
        <v>61</v>
      </c>
      <c r="B318" s="192" t="s">
        <v>62</v>
      </c>
      <c r="C318" s="191"/>
      <c r="D318" s="202">
        <f>D319</f>
        <v>0</v>
      </c>
      <c r="F318" s="242"/>
    </row>
    <row r="319" spans="1:6" ht="25.5" hidden="1">
      <c r="A319" s="203" t="s">
        <v>232</v>
      </c>
      <c r="B319" s="192" t="s">
        <v>62</v>
      </c>
      <c r="C319" s="191">
        <v>200</v>
      </c>
      <c r="D319" s="202"/>
      <c r="F319" s="242"/>
    </row>
    <row r="320" spans="1:6" ht="25.5">
      <c r="A320" s="251" t="s">
        <v>498</v>
      </c>
      <c r="B320" s="249" t="s">
        <v>18</v>
      </c>
      <c r="C320" s="264" t="s">
        <v>89</v>
      </c>
      <c r="D320" s="250">
        <f>SUM(D321:D323)</f>
        <v>21547492</v>
      </c>
      <c r="F320" s="242"/>
    </row>
    <row r="321" spans="1:6" ht="51">
      <c r="A321" s="13" t="s">
        <v>740</v>
      </c>
      <c r="B321" s="249" t="s">
        <v>18</v>
      </c>
      <c r="C321" s="248" t="s">
        <v>597</v>
      </c>
      <c r="D321" s="247">
        <v>20566245</v>
      </c>
      <c r="F321" s="242"/>
    </row>
    <row r="322" spans="1:6" ht="25.5">
      <c r="A322" s="13" t="s">
        <v>232</v>
      </c>
      <c r="B322" s="249" t="s">
        <v>18</v>
      </c>
      <c r="C322" s="248" t="s">
        <v>76</v>
      </c>
      <c r="D322" s="247">
        <v>934400</v>
      </c>
      <c r="F322" s="242"/>
    </row>
    <row r="323" spans="1:6" ht="12.75">
      <c r="A323" s="13" t="s">
        <v>79</v>
      </c>
      <c r="B323" s="249" t="s">
        <v>18</v>
      </c>
      <c r="C323" s="248" t="s">
        <v>80</v>
      </c>
      <c r="D323" s="247">
        <v>46847</v>
      </c>
      <c r="F323" s="242"/>
    </row>
    <row r="324" spans="1:7" ht="25.5">
      <c r="A324" s="251" t="s">
        <v>38</v>
      </c>
      <c r="B324" s="249" t="s">
        <v>345</v>
      </c>
      <c r="C324" s="248"/>
      <c r="D324" s="247">
        <f>D326+D325</f>
        <v>1182567</v>
      </c>
      <c r="E324" s="334"/>
      <c r="F324" s="242"/>
      <c r="G324" s="329"/>
    </row>
    <row r="325" spans="1:7" ht="12.75">
      <c r="A325" s="193" t="s">
        <v>83</v>
      </c>
      <c r="B325" s="249" t="s">
        <v>345</v>
      </c>
      <c r="C325" s="248">
        <v>300</v>
      </c>
      <c r="D325" s="247"/>
      <c r="E325" s="334"/>
      <c r="F325" s="242"/>
      <c r="G325" s="329"/>
    </row>
    <row r="326" spans="1:7" ht="12.75">
      <c r="A326" s="13" t="s">
        <v>79</v>
      </c>
      <c r="B326" s="249" t="s">
        <v>345</v>
      </c>
      <c r="C326" s="248">
        <v>800</v>
      </c>
      <c r="D326" s="247">
        <v>1182567</v>
      </c>
      <c r="E326" s="334"/>
      <c r="F326" s="242"/>
      <c r="G326" s="329"/>
    </row>
    <row r="327" spans="1:7" ht="25.5">
      <c r="A327" s="78" t="s">
        <v>98</v>
      </c>
      <c r="B327" s="72" t="s">
        <v>99</v>
      </c>
      <c r="C327" s="85"/>
      <c r="D327" s="77">
        <f>D328</f>
        <v>400000</v>
      </c>
      <c r="E327" s="334"/>
      <c r="F327" s="242"/>
      <c r="G327" s="329"/>
    </row>
    <row r="328" spans="1:7" ht="25.5">
      <c r="A328" s="78" t="s">
        <v>232</v>
      </c>
      <c r="B328" s="72" t="s">
        <v>99</v>
      </c>
      <c r="C328" s="85">
        <v>200</v>
      </c>
      <c r="D328" s="80">
        <v>400000</v>
      </c>
      <c r="E328" s="333"/>
      <c r="F328" s="333"/>
      <c r="G328" s="332"/>
    </row>
    <row r="329" spans="1:7" ht="25.5">
      <c r="A329" s="251" t="s">
        <v>468</v>
      </c>
      <c r="B329" s="249" t="s">
        <v>19</v>
      </c>
      <c r="C329" s="264" t="s">
        <v>89</v>
      </c>
      <c r="D329" s="250">
        <f>D330</f>
        <v>290000</v>
      </c>
      <c r="E329" s="330"/>
      <c r="F329" s="330"/>
      <c r="G329" s="331"/>
    </row>
    <row r="330" spans="1:7" ht="25.5">
      <c r="A330" s="251" t="s">
        <v>232</v>
      </c>
      <c r="B330" s="249" t="s">
        <v>19</v>
      </c>
      <c r="C330" s="85">
        <v>200</v>
      </c>
      <c r="D330" s="250">
        <v>290000</v>
      </c>
      <c r="E330" s="330"/>
      <c r="F330" s="330"/>
      <c r="G330" s="331"/>
    </row>
    <row r="331" spans="1:7" ht="38.25">
      <c r="A331" s="390" t="s">
        <v>873</v>
      </c>
      <c r="B331" s="214" t="s">
        <v>874</v>
      </c>
      <c r="C331" s="412"/>
      <c r="D331" s="294">
        <f>D332</f>
        <v>41201</v>
      </c>
      <c r="E331" s="330"/>
      <c r="F331" s="330"/>
      <c r="G331" s="329"/>
    </row>
    <row r="332" spans="1:7" ht="25.5">
      <c r="A332" s="388" t="s">
        <v>232</v>
      </c>
      <c r="B332" s="214" t="s">
        <v>874</v>
      </c>
      <c r="C332" s="412">
        <v>200</v>
      </c>
      <c r="D332" s="294">
        <v>41201</v>
      </c>
      <c r="E332" s="184"/>
      <c r="F332" s="242"/>
      <c r="G332" s="184"/>
    </row>
    <row r="333" spans="1:7" ht="12.75">
      <c r="A333" s="221" t="s">
        <v>821</v>
      </c>
      <c r="B333" s="188" t="s">
        <v>820</v>
      </c>
      <c r="C333" s="220"/>
      <c r="D333" s="306">
        <f>D334</f>
        <v>0</v>
      </c>
      <c r="E333" s="184"/>
      <c r="F333" s="242"/>
      <c r="G333" s="184"/>
    </row>
    <row r="334" spans="1:7" ht="25.5">
      <c r="A334" s="189" t="s">
        <v>232</v>
      </c>
      <c r="B334" s="188" t="s">
        <v>820</v>
      </c>
      <c r="C334" s="188">
        <v>200</v>
      </c>
      <c r="D334" s="306"/>
      <c r="E334" s="184"/>
      <c r="F334" s="242"/>
      <c r="G334" s="184"/>
    </row>
    <row r="335" spans="1:7" ht="12.75">
      <c r="A335" s="257" t="s">
        <v>178</v>
      </c>
      <c r="B335" s="224" t="s">
        <v>704</v>
      </c>
      <c r="C335" s="224" t="s">
        <v>89</v>
      </c>
      <c r="D335" s="223">
        <f>D336</f>
        <v>100000</v>
      </c>
      <c r="E335" s="184"/>
      <c r="F335" s="242"/>
      <c r="G335" s="184"/>
    </row>
    <row r="336" spans="1:7" ht="12.75">
      <c r="A336" s="13" t="s">
        <v>540</v>
      </c>
      <c r="B336" s="248" t="s">
        <v>705</v>
      </c>
      <c r="C336" s="248" t="s">
        <v>89</v>
      </c>
      <c r="D336" s="250">
        <f>D337</f>
        <v>100000</v>
      </c>
      <c r="E336" s="184"/>
      <c r="F336" s="242"/>
      <c r="G336" s="184"/>
    </row>
    <row r="337" spans="1:7" ht="12.75">
      <c r="A337" s="251" t="s">
        <v>265</v>
      </c>
      <c r="B337" s="248" t="s">
        <v>226</v>
      </c>
      <c r="C337" s="264" t="s">
        <v>89</v>
      </c>
      <c r="D337" s="250">
        <f>D338</f>
        <v>100000</v>
      </c>
      <c r="E337" s="184"/>
      <c r="F337" s="242"/>
      <c r="G337" s="184"/>
    </row>
    <row r="338" spans="1:7" ht="12.75">
      <c r="A338" s="246" t="s">
        <v>79</v>
      </c>
      <c r="B338" s="244" t="s">
        <v>226</v>
      </c>
      <c r="C338" s="244" t="s">
        <v>80</v>
      </c>
      <c r="D338" s="243">
        <v>100000</v>
      </c>
      <c r="E338" s="184"/>
      <c r="F338" s="242"/>
      <c r="G338" s="184"/>
    </row>
    <row r="339" spans="5:7" ht="12.75">
      <c r="E339" s="184"/>
      <c r="F339" s="242"/>
      <c r="G339" s="184"/>
    </row>
    <row r="340" spans="5:7" ht="12.75">
      <c r="E340" s="184"/>
      <c r="F340" s="242"/>
      <c r="G340" s="184"/>
    </row>
  </sheetData>
  <sheetProtection/>
  <mergeCells count="1">
    <mergeCell ref="A3:D3"/>
  </mergeCells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Kochergin_AV</dc:creator>
  <cp:keywords/>
  <dc:description/>
  <cp:lastModifiedBy>Chesnokova_ON</cp:lastModifiedBy>
  <cp:lastPrinted>2021-12-15T08:14:22Z</cp:lastPrinted>
  <dcterms:created xsi:type="dcterms:W3CDTF">2011-11-14T07:33:47Z</dcterms:created>
  <dcterms:modified xsi:type="dcterms:W3CDTF">2021-12-15T12:19:00Z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