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80" yWindow="1005" windowWidth="16605" windowHeight="6540" tabRatio="869" activeTab="7"/>
  </bookViews>
  <sheets>
    <sheet name="прил 1" sheetId="1" r:id="rId1"/>
    <sheet name="прил 2" sheetId="2" r:id="rId2"/>
    <sheet name="прил 3" sheetId="3" r:id="rId3"/>
    <sheet name="прил 5" sheetId="4" r:id="rId4"/>
    <sheet name="прил 6" sheetId="5" r:id="rId5"/>
    <sheet name="прил 7" sheetId="6" r:id="rId6"/>
    <sheet name="прил 8" sheetId="7" r:id="rId7"/>
    <sheet name="прил9" sheetId="8" r:id="rId8"/>
    <sheet name="прил10" sheetId="9" r:id="rId9"/>
    <sheet name="прил11" sheetId="10" r:id="rId10"/>
    <sheet name="прил12" sheetId="11" r:id="rId11"/>
  </sheets>
  <definedNames>
    <definedName name="Z_61760596_1996_422C_A41D_51592B5AEA63_.wvu.PrintArea" localSheetId="0" hidden="1">'прил 1'!$A$1:$C$22</definedName>
    <definedName name="Z_61760596_1996_422C_A41D_51592B5AEA63_.wvu.PrintArea" localSheetId="1" hidden="1">'прил 2'!$A$1:$C$22</definedName>
    <definedName name="Z_772B23D4_7F73_461E_BC32_1D18D8038167_.wvu.PrintArea" localSheetId="0" hidden="1">'прил 1'!$A$1:$C$22</definedName>
    <definedName name="Z_772B23D4_7F73_461E_BC32_1D18D8038167_.wvu.PrintArea" localSheetId="1" hidden="1">'прил 2'!$A$1:$C$22</definedName>
    <definedName name="_xlnm.Print_Titles" localSheetId="2">'прил 3'!$7:$7</definedName>
    <definedName name="_xlnm.Print_Titles" localSheetId="3">'прил 5'!$7:$7</definedName>
    <definedName name="_xlnm.Print_Titles" localSheetId="5">'прил 7'!$8:$8</definedName>
    <definedName name="_xlnm.Print_Titles" localSheetId="6">'прил 8'!$8:$8</definedName>
    <definedName name="_xlnm.Print_Titles" localSheetId="8">'прил10'!$8:$8</definedName>
    <definedName name="_xlnm.Print_Titles" localSheetId="7">'прил9'!$8:$8</definedName>
    <definedName name="_xlnm.Print_Area" localSheetId="0">'прил 1'!$A$1:$C$26</definedName>
    <definedName name="_xlnm.Print_Area" localSheetId="2">'прил 3'!$A$1:$C$199</definedName>
    <definedName name="_xlnm.Print_Area" localSheetId="3">'прил 5'!$A$1:$F$465</definedName>
    <definedName name="_xlnm.Print_Area" localSheetId="5">'прил 7'!$A$1:$G$445</definedName>
    <definedName name="_xlnm.Print_Area" localSheetId="6">'прил 8'!$A$1:$H$381</definedName>
    <definedName name="_xlnm.Print_Area" localSheetId="7">'прил9'!$A$1:$D$350</definedName>
  </definedNames>
  <calcPr fullCalcOnLoad="1"/>
</workbook>
</file>

<file path=xl/sharedStrings.xml><?xml version="1.0" encoding="utf-8"?>
<sst xmlns="http://schemas.openxmlformats.org/spreadsheetml/2006/main" count="8883" uniqueCount="986">
  <si>
    <t>на содержание работников, осуществляющих отдельные государственные полномочия по назначению и выплате ежемесячной выплаты на детей в возрасте от трех до семи лет включительно</t>
  </si>
  <si>
    <t>2 02 40000 00 0000 150</t>
  </si>
  <si>
    <t>Иные межбюджетные трансферты</t>
  </si>
  <si>
    <t>2 07 00000 00 0000 000</t>
  </si>
  <si>
    <t>1 14 02042 04 0000 410</t>
  </si>
  <si>
    <t>Подпрограмма "Развитие дополнительного образования и системы воспитания детей" муниципальной программы  "Развитие образования  в г. Щигры Курской области"</t>
  </si>
  <si>
    <t>02 1 00 00000</t>
  </si>
  <si>
    <t>02 3 00 00000</t>
  </si>
  <si>
    <t>04 0 00 00000</t>
  </si>
  <si>
    <t>04 2 00 00000</t>
  </si>
  <si>
    <t>04 2 01 00000</t>
  </si>
  <si>
    <t>04 2 01 С1467</t>
  </si>
  <si>
    <t>12 0 00 00000</t>
  </si>
  <si>
    <t>12 1 00 00000</t>
  </si>
  <si>
    <t>77 0 00 00000</t>
  </si>
  <si>
    <t>Муниципальная программа  "Развитие культуры в городе Щигры"</t>
  </si>
  <si>
    <t>77 2 00 00000</t>
  </si>
  <si>
    <t>77 2 00 С1401</t>
  </si>
  <si>
    <t>77 2 00 С1439</t>
  </si>
  <si>
    <t>13 0 00 00000</t>
  </si>
  <si>
    <t>13 2 00 00000</t>
  </si>
  <si>
    <t>17 0 00 00000</t>
  </si>
  <si>
    <t>17 1 00 00000</t>
  </si>
  <si>
    <t>17 1 01 00000</t>
  </si>
  <si>
    <t>17 1 01 С1436</t>
  </si>
  <si>
    <t>13 2 01 00000</t>
  </si>
  <si>
    <t>17 2 00 00000</t>
  </si>
  <si>
    <t>17 2 01 00000</t>
  </si>
  <si>
    <t>17 2 01 13310</t>
  </si>
  <si>
    <t>11 0 00 00000</t>
  </si>
  <si>
    <t>11 2 00 00000</t>
  </si>
  <si>
    <t xml:space="preserve">Капитальный ремонт, ремонт и содержание автомобильных дорог общего пользования местного значения </t>
  </si>
  <si>
    <t>07 0 00 00000</t>
  </si>
  <si>
    <t>СУММА</t>
  </si>
  <si>
    <t>Выполнение других (прочих) обязательств органа местного самоуправления</t>
  </si>
  <si>
    <t>Основное мероприятие "Осуществление мероприятий в области имущественных и земельных отношений на территории города Щигры Курской области"</t>
  </si>
  <si>
    <t>74 3 00 С1402</t>
  </si>
  <si>
    <t>74 3 00 00000</t>
  </si>
  <si>
    <t>Аппарат контрольно-счетного органа муниципального образования</t>
  </si>
  <si>
    <t>Дополнительное образование детей</t>
  </si>
  <si>
    <t xml:space="preserve">Молодежная политика </t>
  </si>
  <si>
    <t>Здравоохранение</t>
  </si>
  <si>
    <t>Санитарно-эпидемиологическое благополучие</t>
  </si>
  <si>
    <t>77 2 00 12700</t>
  </si>
  <si>
    <t>77 2 00 12712</t>
  </si>
  <si>
    <t>Подпрограмма "Развитие сети автомобильных дорог  города Щигры Курской области" муниципальной программы города Щигры Курской области "Развитие транспортной системы, обеспечение перевозки пассажиров в городе Щигры Курской области и безопасности дорожного движения"</t>
  </si>
  <si>
    <t>Муниципальная программа "Развитие малого и среднего предпринимательства в городе Щигры Курской области на 2021 - 2024 годы"</t>
  </si>
  <si>
    <t>77 2 00S4001</t>
  </si>
  <si>
    <t>Мероприятия  по реализации проекта "Народный бюджет" Капитальный ремонт сети водопровода от ул. Вишневая до ул. Зеленая в г.Щигры</t>
  </si>
  <si>
    <t>Мероприятия  по реализации проекта "Народный бюджет" Капитальный ремонт напорного коллектора от КНС по ул.Мира до самотечного коллектора по ул. Макарова в г.Щигры</t>
  </si>
  <si>
    <t>77 2 00S4002</t>
  </si>
  <si>
    <t>Мероприятия  по реализации проекта "Народный бюджет" Капитальный ремонт водонапорной башни, расположенной по адресу г.Щигры ул. Слободская</t>
  </si>
  <si>
    <t>77 2 00S4003</t>
  </si>
  <si>
    <t>Реализация проекта "Народный бюджет" в Курской области Капитальный ремонт сети водопровода от ул. Вишневая до ул. Зеленая в г.Щигры</t>
  </si>
  <si>
    <t>77 2 00 14001</t>
  </si>
  <si>
    <t>Реализация проекта "Народный бюджет" в Курской области Капитальный ремонт напорного коллектора от КНС по ул.Мира до самотечного коллектора по ул. Макарова в г.Щигры</t>
  </si>
  <si>
    <t>77 2 00 14002</t>
  </si>
  <si>
    <t>Реализация проекта "Народный бюджет" в Курской области Капитальный ремонт водонапорной башни, расположенной по адресу г.Щигры ул. Слободская</t>
  </si>
  <si>
    <t>77 2 00 14003</t>
  </si>
  <si>
    <t>Обеспечение мероприятий по внедрению целевой модели цифровой образовательной среды в общеобразовательных организациях и профессиональных образовательных организациях</t>
  </si>
  <si>
    <t>03 2 E4 00000</t>
  </si>
  <si>
    <t>03 2 E4 52100</t>
  </si>
  <si>
    <t>07 2 F3 00000</t>
  </si>
  <si>
    <t>Основное мероприятие "Разработка проектной документации на строительство дорог, проверка сметной документации, экспертиза проектов и смет"</t>
  </si>
  <si>
    <t>11 1 05 00000</t>
  </si>
  <si>
    <t>Софинансирование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местного бюджета</t>
  </si>
  <si>
    <t>1 17 05040 04 0000 180</t>
  </si>
  <si>
    <t>Прочие неналоговые доходы бюджетов городских округов</t>
  </si>
  <si>
    <t>Субвенции бюджетам городских округов на осуществление отдельных государственных полномочий Курской области в соответствии с ЗакономКурской области "О наделении органов местного самоуправления в Курской области отдельными государственными полномочиями Курской области по организации деятельности органов опеки и попечительства"</t>
  </si>
  <si>
    <t>Наименование доходов</t>
  </si>
  <si>
    <t>1</t>
  </si>
  <si>
    <t>3</t>
  </si>
  <si>
    <t>200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</si>
  <si>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</si>
  <si>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</si>
  <si>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Иные бюджетные ассигнования</t>
  </si>
  <si>
    <t>800</t>
  </si>
  <si>
    <t>600</t>
  </si>
  <si>
    <t>300</t>
  </si>
  <si>
    <t>Социальное обеспечение и иные выплаты населению</t>
  </si>
  <si>
    <t>700</t>
  </si>
  <si>
    <t>Прочие субвенции бюджетам городских округов</t>
  </si>
  <si>
    <t>Наименование</t>
  </si>
  <si>
    <t>2</t>
  </si>
  <si>
    <t>Дорожное хозяйство (дорожные фонды)</t>
  </si>
  <si>
    <t/>
  </si>
  <si>
    <t>(рублей)</t>
  </si>
  <si>
    <t>В С Е Г О</t>
  </si>
  <si>
    <t>Предоставление субсидий бюджетным, автономным учреждениям и иным некоммерческим организациям</t>
  </si>
  <si>
    <t>Закупка товаров, работ и услуг для государственных (муниципальных) нужд</t>
  </si>
  <si>
    <t>Обеспечение мероприятий по переселению граждан из аварийного жилищного фонда за счет средств Фонда содействия реформированию ЖКХ</t>
  </si>
  <si>
    <t>Обеспечение мероприятий по переселению граждан из аварийного жилищного фонда за счет средств бюджета</t>
  </si>
  <si>
    <t>Подпрограмма "Организация деятельности в области обращения с отходами, в том числе с твердыми коммунальными отходами"</t>
  </si>
  <si>
    <t>Другие вопросы в области охраны окружающей среды</t>
  </si>
  <si>
    <t>Мероприятия по разработке документов территориального планирования и градостроительного зонирования</t>
  </si>
  <si>
    <t>77 2 00 С1416</t>
  </si>
  <si>
    <t>15 0 01 С1405</t>
  </si>
  <si>
    <t>Основное мероприятие "Осуществление  инженерных мероприятий, направленных на совершенствование организации движения транспортных средств и пешеходов (изготовление дорожных знаков, нанесение разметки на дорогах"</t>
  </si>
  <si>
    <t>13</t>
  </si>
  <si>
    <t>03</t>
  </si>
  <si>
    <t>09</t>
  </si>
  <si>
    <t>ИСТОЧНИКИ ВНУТРЕННЕГО ФИНАНСИРОВАНИЯ ДЕФИЦИТОВ БЮДЖЕТОВ</t>
  </si>
  <si>
    <t>01 03 00 00 00 0000 000</t>
  </si>
  <si>
    <t>ГРБС</t>
  </si>
  <si>
    <t>Региональный проект "Успех каждого ребенка"</t>
  </si>
  <si>
    <t>Региональный проект "Цифровая образовательная среда"</t>
  </si>
  <si>
    <t>Осуществление отдельных государственных полномочий по  созданию и обеспечению деятельности комиссий по делам несовершеннолетних и защите их прав</t>
  </si>
  <si>
    <t>12 1 01 00000</t>
  </si>
  <si>
    <t>22 0 00 00000</t>
  </si>
  <si>
    <t>22 2 00 00000</t>
  </si>
  <si>
    <t>Основное мероприятие "Лечение и реабилитация больных наркоманией в медико-социальных учреждениях"</t>
  </si>
  <si>
    <t>22 2 03 00000</t>
  </si>
  <si>
    <t>22 2 03 С1486</t>
  </si>
  <si>
    <t>Создание комплексной системы мер по профилактике потребления наркотиков, лечению и реабилитации больных наркоманией</t>
  </si>
  <si>
    <t>02 2 00 00000</t>
  </si>
  <si>
    <t>Основное мероприятие «Сокращение стоимости обслуживания путем обеспечения приемлемых и экономически обоснованных объема и структуры муниципального долга города Щигры»</t>
  </si>
  <si>
    <t>14 1 00 00000</t>
  </si>
  <si>
    <t>14 1 01 00000</t>
  </si>
  <si>
    <t xml:space="preserve"> Обслуживание муниципального долга</t>
  </si>
  <si>
    <t>14 1 01 С1465</t>
  </si>
  <si>
    <t>Основное мероприятие"Оказание мер социальной поддержки реабилитированным лицам"</t>
  </si>
  <si>
    <t>02 3 01 00000</t>
  </si>
  <si>
    <t>Основное мероприятие "Организация осуществления государственных выплат и пособий гражданам, имеющим детей, детям-сиротам и детям, оставшимся без попечения родителей"</t>
  </si>
  <si>
    <t>02 2 01 00000</t>
  </si>
  <si>
    <t>02 2 02 00000</t>
  </si>
  <si>
    <t>02 2 02 11170</t>
  </si>
  <si>
    <t>02 2 03 00000</t>
  </si>
  <si>
    <t>02 2 03 11180</t>
  </si>
  <si>
    <t>03 2 02 00000</t>
  </si>
  <si>
    <t>02 1 01 00000</t>
  </si>
  <si>
    <t>2 02 25304 00 0000 150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</si>
  <si>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</si>
  <si>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</si>
  <si>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</si>
  <si>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2 02 25491 00 0000 150</t>
  </si>
  <si>
    <t>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</si>
  <si>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2 02 25491 04 0000 150</t>
  </si>
  <si>
    <t>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</si>
  <si>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Субсидии местным бюджетам на строительство (реконструкцию), капитальный ремонт, ремонт и содержание автомобильных дорог общего пользования местного значения</t>
  </si>
  <si>
    <t>2 19 60010 04 0000 150</t>
  </si>
  <si>
    <t>ВОЗВРАТ ОСТАТКОВ СУБСИДИЙ, СУБВЕНЦИЙ И ИНЫХ МЕЖБЮДЖЕТНЫХ ТРАНСФЕРТОВ, ИМЕЮЩИХ ЦЕЛЕВОЕ НАЗНАЧЕНИЕ, ПРОШЛЫХ ЛЕТ</t>
  </si>
  <si>
    <t>2 02 25169 00 0000 150</t>
  </si>
  <si>
    <t>2 02 25169 04 0000 150</t>
  </si>
  <si>
    <t>2 02 25210 00 0000 150</t>
  </si>
  <si>
    <t>2 02 25210 04 0000 150</t>
  </si>
  <si>
    <t>11 1 02 13390</t>
  </si>
  <si>
    <t>Обеспечение мероприятий, связанных с профилактикой и устранением последствий распространения коронавирусной инфекции</t>
  </si>
  <si>
    <t>03 2 01 С2002</t>
  </si>
  <si>
    <t>Закупка товаров, работ и  услуг для обеспечения государственных (муниципальных) нужд</t>
  </si>
  <si>
    <t>Создание 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</si>
  <si>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Обеспечение образовательных организаций материально-технической базой для внедрения цифровой образовательной среды</t>
  </si>
  <si>
    <t>Обеспечение мероприятий, связанных с профилактикой и устранением последствий распространения короновирусной инфекции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</si>
  <si>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</si>
  <si>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Приложение №1</t>
  </si>
  <si>
    <t>1 08 07150 01 0000 110</t>
  </si>
  <si>
    <t>Государственная пошлина за выдачу разрешения на установку рекламной конструкции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</si>
  <si>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</si>
  <si>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Муниципальная программа  "Социальная поддержка граждан в городе Щигры"</t>
  </si>
  <si>
    <t>Подпрограмма "Развитие мер социальной поддержки отдельных категорий граждан" муниципальной программы "Социальная поддержка граждан в городе Щигры"</t>
  </si>
  <si>
    <t>01 03 01 00 00 0000 700</t>
  </si>
  <si>
    <t>01 03 01 00 04 0000 710</t>
  </si>
  <si>
    <t>01 03 01 00 00 0000 800</t>
  </si>
  <si>
    <t>01 03 01 00 04 0000 810</t>
  </si>
  <si>
    <t>Субвенция бюджетам городских округов в размере, необходимом для реализации образовательной программы в части финансирования расходов на оплату труда работников муниципальных дошкольных образовательных учреждений, расходов на приобретение учебных пособий,  средств обучения, игр, игрушек (за исключением расходов на содержание зданий и оплату коммунальных услуг, осуществляемых из местных бюджетов)</t>
  </si>
  <si>
    <t>Обеспечение деятельности контрольно-счетных органов муниципального образования</t>
  </si>
  <si>
    <t>Руководитель контрольно-счетного органа муниципального образования</t>
  </si>
  <si>
    <t>Муниципальная программа "Повышение эффективности управления финансами"</t>
  </si>
  <si>
    <t>Подпрограмма "Улучшение демографической ситуации, совершенствование социальной поддержки семьи и детей" муниципальной программы "Социальная поддержка граждан в городе Щигры"</t>
  </si>
  <si>
    <t>Подпрограмма "Управление муниципальной программой и обеспечение условий реализации" муниципальной программы "Повышение эффективности управления финансами"</t>
  </si>
  <si>
    <t>Резервные фонды  органов местного самоуправления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</si>
  <si>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</si>
  <si>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1 16 00000 00 0000 000</t>
  </si>
  <si>
    <t>2 02 25555 00 0000 150</t>
  </si>
  <si>
    <t>Субсидии бюджетам на реализацию программ формирования современной городской среды</t>
  </si>
  <si>
    <t>Субсидии бюджетам городских округов на реализацию программ формирования современной городской среды</t>
  </si>
  <si>
    <t>2 02 25555 04 0000 150</t>
  </si>
  <si>
    <t>1 03 02261 01 0000 110</t>
  </si>
  <si>
    <t>Погашение бюджетных кредитов, полученных из других бюджетов бюджетной системы Российской Федерации  в валюте Российской Федерации</t>
  </si>
  <si>
    <t>Погашение бюджетами городских округов кредитов из других бюджетов бюджетной системы Российской Федерации  в валюте Российской Федерации</t>
  </si>
  <si>
    <t>Бюджетные кредиты из других бюджетов бюджетной системы Российской Федерации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</si>
  <si>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</si>
  <si>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</si>
  <si>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</si>
  <si>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</si>
  <si>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</si>
  <si>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</si>
  <si>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1 05 01010 01 0000 110</t>
  </si>
  <si>
    <t>Налог, взимаемый с налогоплательщиков, выбравших в качестве объекта налогообложения доходы</t>
  </si>
  <si>
    <t>1 05 01011 01 0000 110</t>
  </si>
  <si>
    <t>1 05 01020 01 0000 110</t>
  </si>
  <si>
    <t>1 13 01994 04 0000 130</t>
  </si>
  <si>
    <t>1 14 00000 00 0000 000</t>
  </si>
  <si>
    <t>Доходы от продажи материальных и нематериальных активов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</si>
  <si>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</si>
  <si>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</si>
  <si>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1 14 06010 00 0000 430</t>
  </si>
  <si>
    <t xml:space="preserve">Доходы от продажи земельных участков, государственная собственность на которые не разграничена  </t>
  </si>
  <si>
    <t>1 14 06012 04 0000 430</t>
  </si>
  <si>
    <t>Обеспечение доступности качественного образования</t>
  </si>
  <si>
    <t>Подпрограмма "Создание условий для обеспечения доступным и комфортным жильем граждан в городе Щигры Курской области" муниципальной программы города Щигры Курской области"Обеспечение доступным и комфортным жильем и коммунальными услугами граждан в городе Щигры Курской области"</t>
  </si>
  <si>
    <t>07 2 00 00000</t>
  </si>
  <si>
    <t>Основное мероприятие "Создание условий для развития социальной и инженерной инфраструктуры города Щигры Курской области"</t>
  </si>
  <si>
    <t>07 2 01 00000</t>
  </si>
  <si>
    <t>Мероприятия, направленные на проектирование, строительство, реконструкцию и капитальный ремонт объектов социально-культурного назначения</t>
  </si>
  <si>
    <t>07 2 01 C1421</t>
  </si>
  <si>
    <t>Капитальные вложения в объекты государственной (муниципальной) собственности</t>
  </si>
  <si>
    <t>78 1 00 С1403</t>
  </si>
  <si>
    <t>02 0 00 00000</t>
  </si>
  <si>
    <t>Прочие субсидии бюджетам городских округов</t>
  </si>
  <si>
    <t>Субсидии местным бюджетам на дополнительное финансирование мероприятий по организации питания обучающихся из малообеспеченных и многодетных семей, а также обучающихся в специальных (коррекционных) классах  муниципальных  общеобразовательных организаций</t>
  </si>
  <si>
    <t>Субсидия из областного бюджета бюджетам муниципальных образований на софинансирование расходных обязательств муниципальных образований, связанных с организацией отдыха детей в каникулярное время</t>
  </si>
  <si>
    <t>Субсидия из областного бюджета бюджетам городских округов на реализацию проекта "Народный бюджет"</t>
  </si>
  <si>
    <t>Закупка товаров, работ и услуг для обеспечения государственных (муниципальных) нужд</t>
  </si>
  <si>
    <t>Основное мероприятие "Капитальный ремонт и ремонт  автомобильных дорог общего пользования местного значения"</t>
  </si>
  <si>
    <t>11 1 01 С1424</t>
  </si>
  <si>
    <t>11 1 01 00000</t>
  </si>
  <si>
    <t>Основное мероприятие "Содержание автомобильных дорог общего пользования местного значения"</t>
  </si>
  <si>
    <t>11 1 00 00000</t>
  </si>
  <si>
    <t>Основное мероприятие «Содействие проведению капитального ремонта муниципального жилищного фонда"</t>
  </si>
  <si>
    <t>Жилищное хозяйство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</si>
  <si>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</si>
  <si>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</si>
  <si>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</si>
  <si>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1 05 02000 02 0000 110</t>
  </si>
  <si>
    <t>Подпрограмма "Улучшение демографической ситуации, совершенствование социальной поддержки семьи и детей"" муниципальной программы "Социальная поддержка граждан в городе Щигры"</t>
  </si>
  <si>
    <t xml:space="preserve">Подпрограмма "Управление муниципальной программой и обеспечение условий реализации"  муниципальной программы "Развитие образования в г. Щигры Курской области"  </t>
  </si>
  <si>
    <t>Физическая культура и спорт</t>
  </si>
  <si>
    <t>03 2 02 13000</t>
  </si>
  <si>
    <t>08 2 01 С1406</t>
  </si>
  <si>
    <t>Создание условий, обеспечивающих повышение мотивации жителей муниципального образования к регулярным занятиям физической культурой и спортом и ведению здорового образа жизни</t>
  </si>
  <si>
    <t>08 2 01 00000</t>
  </si>
  <si>
    <t>Основное мероприятие «Физическое воспитание, вовлечение населения в занятия физической культурой и массовым спортом, обеспечение организации и проведения физкультурных мероприятий и спортивных мероприятий»</t>
  </si>
  <si>
    <t>08 2 00 00000</t>
  </si>
  <si>
    <t>Основное мероприятие «Содействие развитию дошкольного образования»</t>
  </si>
  <si>
    <t>11 1 02 00000</t>
  </si>
  <si>
    <t>01 05 00 00 00 0000 000</t>
  </si>
  <si>
    <t>01 05 00 00 00 0000 500</t>
  </si>
  <si>
    <t>Увеличение остатков средств бюджетов</t>
  </si>
  <si>
    <t>01 05 02 00 00 0000 500</t>
  </si>
  <si>
    <t>Увеличение  прочих остатков средств бюджетов</t>
  </si>
  <si>
    <t>Увеличение прочих остатков денежных средств бюджетов</t>
  </si>
  <si>
    <t>01 05 02 01 04 0000 510</t>
  </si>
  <si>
    <t>Увеличение  прочих остатков денежных средств   бюджетов городских округов</t>
  </si>
  <si>
    <t>Основное мероприятие"Обеспечение эффективного повседневного функционирования системы гражданской обороны, защиты населения и территорий от чрезвычайных ситуаций и обеспечения безопасности людей на водных объектах"</t>
  </si>
  <si>
    <t>Подпрограмма "Обеспечение безопасности дорожного движения в городе Щигры Курской области" муниципальной программы города Щигры Курской области "Развитие транспортной системы, обеспечение перевозки пассажиров в городе Щигры Курской области и безопасности дорожного движения"</t>
  </si>
  <si>
    <t>Резервный фонд местной администрации</t>
  </si>
  <si>
    <t>Обеспечение мер социальной поддержки реабилитированных лиц и лиц, признанных пострадавшими от политических репрессий</t>
  </si>
  <si>
    <t>к решению Щигровской городской Думы</t>
  </si>
  <si>
    <t>Субвенции бюджетам городских округов на осуществление отдельных государственных полномочий Курской области в соответствии с Законом Курской области "О наделении органов местного самоуправления муниципальных образований Курской области отдельными государственными полномочиями Курской области в сфере трудовых отношений"</t>
  </si>
  <si>
    <t>07 3 01 С1430</t>
  </si>
  <si>
    <t>Мероприятия по капитальному ремонту муниципального жилищного фонда</t>
  </si>
  <si>
    <t>07 3 01 00000</t>
  </si>
  <si>
    <t>Подпрограмма "Развитие дошкольного и общего образования детей" муниципальной программы "Развитие образования  в г. Щигры Курской области" на 2016-2020 годы</t>
  </si>
  <si>
    <t>Муниципальная программа г.Щигры Курской области"Развитие образования в г. Щигры Курской области" на 2016-2020 годы</t>
  </si>
  <si>
    <t>01 3 01 С1444</t>
  </si>
  <si>
    <t>Реализация мероприятий направленных на обеспечение правопорядка на территории муниципального образования</t>
  </si>
  <si>
    <t>12 1 02 С1435</t>
  </si>
  <si>
    <t>03 2 04 С1447</t>
  </si>
  <si>
    <t>Мероприятия в области образования</t>
  </si>
  <si>
    <t>12 1 02 00000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</si>
  <si>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</si>
  <si>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Муниципальная программа г.Щигры Курской области"Развитие образования в г. Щигры Курской области"</t>
  </si>
  <si>
    <t xml:space="preserve">Подпрограмма "Развитие дошкольного и общего образования детей" муниципальной программы "Развитие образования  в г. Щигры Курской области" </t>
  </si>
  <si>
    <t xml:space="preserve">Муниципальная программа г.Щигры Курской области"Развитие образования в г. Щигры Курской области" </t>
  </si>
  <si>
    <t xml:space="preserve">  </t>
  </si>
  <si>
    <t>08 1 01 S3540</t>
  </si>
  <si>
    <t>Содержание работников, осуществляющих переданные государственные полномочия по организации и осуществлению деятельности по опеке и попечительству</t>
  </si>
  <si>
    <t>Мероприятия в области имущественных отношений</t>
  </si>
  <si>
    <t>Основное мероприятие "Профилактика правонарушений в жилом секторе, на улицах и в общественных местах"</t>
  </si>
  <si>
    <t>12 1 01 С1435</t>
  </si>
  <si>
    <t>Основное мероприятие "Усиление социальной профилактики правонарушений среди несовершеннолетних"</t>
  </si>
  <si>
    <t>12 1 02 13180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</si>
  <si>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</si>
  <si>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Наименование источников финансирования дефицита бюджета</t>
  </si>
  <si>
    <t>Сумма</t>
  </si>
  <si>
    <t xml:space="preserve">Создание условий для организации досуга и обеспечения жителей  услугами организаций культуры </t>
  </si>
  <si>
    <t>07 2 F3 6748S</t>
  </si>
  <si>
    <t>Осуществление отдельных государственных полномочий по организации и обеспечению деятельности административных комиссий</t>
  </si>
  <si>
    <t>Подпрограмма "Снижение рисков и смягчение последствий чрезвычайных ситуаций природного и техногенного характера" муниципальной программы "Защита населения и территории города Щигры от чрезвычайных ситуаций, обеспечение пожарной безопасности и безопасности людей на водных объектах"</t>
  </si>
  <si>
    <t>Мероприятия по организации питания обучающихся из малоимущих и (или)  многодетных семей, а также обучающихся с ограниченными возможностями здоровья в муниципальных  общеобразовательных организациях</t>
  </si>
  <si>
    <t>Муниципальная программа "Комплексная межведомственная программа по профилактике преступлений и иных  правонарушений в городе Щигры Курской области"</t>
  </si>
  <si>
    <t>Подпрограмма "Управление муниципальной программой и обеспечение условий реализации" муниципальной программы "Комплексная межведомственная программа по профилактике преступлений и иных  правонарушений в городе Щигры Курской области"</t>
  </si>
  <si>
    <t>Реализация образовательной программы дошкольного образования в части финансирования расходов на оплату труда работников муниципальных дошкольных образовательных организаций, расходов на приобретение учебных пособий, средств обучения, игр, игрушек (за исключением расходов на содержание зданий и оплату коммунальных услуг)</t>
  </si>
  <si>
    <t>03 2 01 13030</t>
  </si>
  <si>
    <t>03 2 01 С1401</t>
  </si>
  <si>
    <t>03 2 03 00000</t>
  </si>
  <si>
    <t>03 2 03 13040</t>
  </si>
  <si>
    <t>03 2 03 С1401</t>
  </si>
  <si>
    <t>03 2 04 00000</t>
  </si>
  <si>
    <t>03 2 04 S3090</t>
  </si>
  <si>
    <t>03 3 00 00000</t>
  </si>
  <si>
    <t>03 3 01 00000</t>
  </si>
  <si>
    <t>03 3 01 С1401</t>
  </si>
  <si>
    <t>03 1 00 00000</t>
  </si>
  <si>
    <t>03 1 01 00000</t>
  </si>
  <si>
    <t>03 1 01 13120</t>
  </si>
  <si>
    <t>14 3 01 00000</t>
  </si>
  <si>
    <t>03 1 02 00000</t>
  </si>
  <si>
    <t>03 1 02 С1401</t>
  </si>
  <si>
    <t>01 0 00 00000</t>
  </si>
  <si>
    <t>01 2 00 00000</t>
  </si>
  <si>
    <t>01 2 01 00000</t>
  </si>
  <si>
    <t>01 2 01 С1401</t>
  </si>
  <si>
    <t>01 3 00 00000</t>
  </si>
  <si>
    <t>01 3 01 00000</t>
  </si>
  <si>
    <t>01 3 01 С1401</t>
  </si>
  <si>
    <t>в т.ч. на содержание работников, обеспечивающих переданные государственные полномочия по осуществлению выплаты компенсации части родительской платы</t>
  </si>
  <si>
    <t>Выплата компенсации части родительской платы</t>
  </si>
  <si>
    <t>Администрация города Щигры</t>
  </si>
  <si>
    <t>002</t>
  </si>
  <si>
    <t>Основное мероприятие "Обеспечение деятельности  муниципальных учреждений, относящихся к сфере прочего образования"</t>
  </si>
  <si>
    <t>Охрана окружающей среды</t>
  </si>
  <si>
    <t>07 4 00 00000</t>
  </si>
  <si>
    <t>Основное мероприятие" Реализация проектов в области обращения с отходами"</t>
  </si>
  <si>
    <t>07 4 01 С1457</t>
  </si>
  <si>
    <t>03 2 E1 00000</t>
  </si>
  <si>
    <t>03 2 E1 51690</t>
  </si>
  <si>
    <t>02 1 02 13221</t>
  </si>
  <si>
    <t>Основное мероприятие "Финансовая и имущественная поддержка субъектов малого и среднего предпринимательства"</t>
  </si>
  <si>
    <t>ШТРАФЫ, САНКЦИИ, ВОЗМЕЩЕНИЕ УЩЕРБА</t>
  </si>
  <si>
    <t>21 0 F2 00000</t>
  </si>
  <si>
    <t>21 0 F2 55550</t>
  </si>
  <si>
    <t>Реализация программ формирования современной городской среды</t>
  </si>
  <si>
    <t>1 16 07090 04 0000 140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</si>
  <si>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</si>
  <si>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77 2 00 С1404</t>
  </si>
  <si>
    <t>1 03 02231 01 0000 110</t>
  </si>
  <si>
    <t>Привлечение бюджетных кредитов из других бюджетов бюджетной системы Российской Федерации в валюте Российской Федерации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</si>
  <si>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</si>
  <si>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</si>
  <si>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Безвозмездные поступления от других бюджетов бюджетной системы Российской Федерации</t>
  </si>
  <si>
    <t>11 2 02 С1459</t>
  </si>
  <si>
    <t>Обеспечение безопасности дорожного движения на автомобильных дорогах местного значения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</si>
  <si>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</si>
  <si>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2 02 20302 00 0000 150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</si>
  <si>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</si>
  <si>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Подпрограмма "Повышение эффективности работы с молодежью, организация отдыха и оздоровления детей, молодежи" муниципальной программы "Повышение эффективности работы с молодежью, организация отдыха и оздоровления детей, молодежи, развитие физической культуры и спорта"</t>
  </si>
  <si>
    <t>Основное мероприятие" Содействие в озеленении и благоустройстве  города Щигры Курской области"</t>
  </si>
  <si>
    <t>03 2 E4 52101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</si>
  <si>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</si>
  <si>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</si>
  <si>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Глава муниципального образования</t>
  </si>
  <si>
    <t>Приложение №7</t>
  </si>
  <si>
    <t>Код бюджетной классификации Российской Федерации</t>
  </si>
  <si>
    <t>БЕЗВОЗМЕЗДНЫЕ ПОСТУПЛЕНИЯ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</si>
  <si>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</si>
  <si>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 xml:space="preserve">Прочие субвенции </t>
  </si>
  <si>
    <t>в т.ч. на содержание работников</t>
  </si>
  <si>
    <t>на осуществление выплаты компенсации части родительской платы</t>
  </si>
  <si>
    <t>в т.ч. на оказание финансовой поддержки общественным организациям ветеранов войны, труда, Вооруженных сил и правоохранительных органов</t>
  </si>
  <si>
    <t>на обеспечение мер социальной поддержки ветеранов труда и труженников тыла (субвенция на выплату ЕДВ)</t>
  </si>
  <si>
    <t>1 17 00000 00 0000 000</t>
  </si>
  <si>
    <t>ПРОЧИЕ НЕНАЛОГОВЫЕ ДОХОДЫ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</si>
  <si>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</si>
  <si>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1 11 05074 04 0000 120</t>
  </si>
  <si>
    <t>Подпрограмма "Управление муниципальной программой и обеспечение условий реализации" муниципальной программы "Социальная поддержка граждан в городе Щигры"</t>
  </si>
  <si>
    <t>2 02 10000 00 0000 150</t>
  </si>
  <si>
    <t>2 02 15001 00 0000 150</t>
  </si>
  <si>
    <t>2 02 15001 04 0000 150</t>
  </si>
  <si>
    <t>2 02 30000 00 0000 150</t>
  </si>
  <si>
    <t>2 02 30013 00 0000 150</t>
  </si>
  <si>
    <t>2 02 30013 04 0000 150</t>
  </si>
  <si>
    <t>2 02 30027 00 0000 150</t>
  </si>
  <si>
    <t>2 02 30027 04 0000 150</t>
  </si>
  <si>
    <t>2 02 39999 04 0000 150</t>
  </si>
  <si>
    <t>Содержание работников, осуществляющих переданные государственные полномочия в сфере социальной защиты</t>
  </si>
  <si>
    <t>Подпрограмма "Управление муниципальным долгом города Щигры" муниципальной программы"Повышение эффективности управления финансами"</t>
  </si>
  <si>
    <t>Субвенция бюджетам городских округов в размере, необходимом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бюджетов)</t>
  </si>
  <si>
    <t>2 00 00000 00 0000 000</t>
  </si>
  <si>
    <t>2 02 00000 00 0000 000</t>
  </si>
  <si>
    <t>03 2 04 С1401</t>
  </si>
  <si>
    <t>Мероприятия по организации бесплатного горячего питания обучающихся, получающих начальное общее образование в муниципальных образовательных организациях</t>
  </si>
  <si>
    <t>03 2 04 L3040</t>
  </si>
  <si>
    <t>77 2 00 14000</t>
  </si>
  <si>
    <t>77 2 00S4000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</si>
  <si>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</si>
  <si>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21 0 F2 54240</t>
  </si>
  <si>
    <t>1 03 02241 01 0000 110</t>
  </si>
  <si>
    <t>1 03 02251 01 0000 110</t>
  </si>
  <si>
    <t>Единый налог на вмененный доход для отдельных видов деятельности</t>
  </si>
  <si>
    <t>1 05 02010 02 0000 110</t>
  </si>
  <si>
    <t>1 05 03000 01 0000 110</t>
  </si>
  <si>
    <t>Единый сельскохозяйственный налог</t>
  </si>
  <si>
    <t>Доходы, 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 земельных участков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</si>
  <si>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</si>
  <si>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</si>
  <si>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</si>
  <si>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2 02 39999 00 0000 150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</si>
  <si>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</si>
  <si>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2 02 20302 04 0000 150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</si>
  <si>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</si>
  <si>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1 06 06000 00 0000 110</t>
  </si>
  <si>
    <t>Земельный налог</t>
  </si>
  <si>
    <t>1 06 06030 00 0000 110</t>
  </si>
  <si>
    <t>Земельный налог с организаций</t>
  </si>
  <si>
    <t>1 06 06032 04 0000 110</t>
  </si>
  <si>
    <t>Земельный налог с организаций, обладающих земельным участком, расположенным в границах городских округов</t>
  </si>
  <si>
    <t>1 06 06040 00 0000 110</t>
  </si>
  <si>
    <t>Земельный налог с физических лиц</t>
  </si>
  <si>
    <t>1 06 06042 04 0000 110</t>
  </si>
  <si>
    <t>Земельный налог с физических лиц, обладающих земельным участком, расположенным в границах городских округов</t>
  </si>
  <si>
    <t>1 08 00000 00 0000 000</t>
  </si>
  <si>
    <t>ГОСУДАРСТВЕННАЯ ПОШЛИНА</t>
  </si>
  <si>
    <t>1 08 03000 01 0000 110</t>
  </si>
  <si>
    <t xml:space="preserve">Государственная пошлина по делам, рассматриваемым в судах общей юрисдикции, мировыми судьями 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</si>
  <si>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</si>
  <si>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 Российской Федерации)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</si>
  <si>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</si>
  <si>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</si>
  <si>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</si>
  <si>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1 11 05010 00 0000 120</t>
  </si>
  <si>
    <t>Подпрограмма "Развитие физической культуры и спорта" муниципальной программы города Щигры  "Повышение эффективности работы с молодежью, организация отдыха и оздоровления детей, молодежи, развитие физической культуры и спорта"</t>
  </si>
  <si>
    <t>08 0 00 00000</t>
  </si>
  <si>
    <t>Муниципальная программа "Повышение эффективности работы с молодежью, организация отдыха и оздоровления детей, молодежи, развитие физической культуры и спорта"</t>
  </si>
  <si>
    <t>Массовый спорт</t>
  </si>
  <si>
    <t>Доходы от сдачи в аренду имущества, составляющего казну городских округов (за исключением земельных участков)</t>
  </si>
  <si>
    <t>1 11 07000 00 0000 120</t>
  </si>
  <si>
    <t>Приложение №10</t>
  </si>
  <si>
    <t>1 03 02250 01 0000 110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</si>
  <si>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</si>
  <si>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</si>
  <si>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</si>
  <si>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</si>
  <si>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11 2 02 00000</t>
  </si>
  <si>
    <t>Основное мероприятие "Оказание мер социальной поддержки общественным организациям ветеранов войны, труда, Вооруженных Сил и правоохранительных органов"</t>
  </si>
  <si>
    <t>02 1 01 13200</t>
  </si>
  <si>
    <t>02 3 03 13170</t>
  </si>
  <si>
    <t>Основное мероприятие "Обеспечение деятельности и выполнение функций специалиста по труду Финансово-экономического управления администрации г.Щигры</t>
  </si>
  <si>
    <t>07 3 02 00000</t>
  </si>
  <si>
    <t>07 3 02 С1433</t>
  </si>
  <si>
    <t>Основное мероприятие "Реализация дошкольных образовательных программ"</t>
  </si>
  <si>
    <t>Основное мероприятие "Содействие развитию дошкольного образования"</t>
  </si>
  <si>
    <t>Основное мероприятие "Реализация основных общеобразовательных программ"</t>
  </si>
  <si>
    <t>Основное мероприятие"Содействие развитию общего образования"</t>
  </si>
  <si>
    <t>Основное мероприятие "Реализация  образовательных программ дополнительного образования и мероприятия по их развитию"</t>
  </si>
  <si>
    <t>Основное мероприятие "Обеспечение исполнения государственных полномочий  в области образования, переданных для осуществления органам местного самоуправления"</t>
  </si>
  <si>
    <t>00</t>
  </si>
  <si>
    <t>Финансово-экономическое управление администрации города Щигры Курской области</t>
  </si>
  <si>
    <t>Реализация мероприятий по распространению официальной информации</t>
  </si>
  <si>
    <t xml:space="preserve">Подпрограмма "Создание новых мест в общеоразовательных организациях в соответствии с прогнозируемой потребностью и современными условиями обучения" муниципальной программы "Развитие образования  в г. Щигры Курской области" </t>
  </si>
  <si>
    <t>03 4 00 00000</t>
  </si>
  <si>
    <t>03 4 01 00000</t>
  </si>
  <si>
    <t>03 4 01 С1421</t>
  </si>
  <si>
    <t>Обеспечение функционирования местных администраций</t>
  </si>
  <si>
    <t>Осуществление отдельных государственных полномочий в сфере трудовых отношений</t>
  </si>
  <si>
    <t>Другие общегосударственные вопросы</t>
  </si>
  <si>
    <t>Национальная безопасность и правоохранительная деятельность</t>
  </si>
  <si>
    <t>Обеспечение деятельности администрации города Щигры</t>
  </si>
  <si>
    <t>Приложение №5</t>
  </si>
  <si>
    <t>Муниципальная программа города Щигры Курской области "Формирование современной городской среды  на территории  города Щигры  Курской области"</t>
  </si>
  <si>
    <t>Подпрограмма "Проведение муниципальной политики в области имущественных и земельных отношений"</t>
  </si>
  <si>
    <t>Муниципальная программа города Щигры Курской области "Формирование современной городской среды  на территории города Щигры  Курской области"</t>
  </si>
  <si>
    <t>Муниципальная программа города Щигры Курской области "Развитие транспортной системы, обеспечение перевозки пассажиров в городе Щигры Курской области и безопасности дорожного движения"</t>
  </si>
  <si>
    <t>Муниципальная программа города Щигры Курской области "Обеспечение доступным и комфортным жильем и коммунальными услугами граждан в городе Щигры  Курской области"</t>
  </si>
  <si>
    <t>Подпрограмма "Обеспечение качественными услугами ЖКХ населения города Щигры Курской области" муниципальной программы города Щигры Курской области"Обеспечение доступным и комфортным жильем и коммунальными услугами граждан в городе Щигры Курской области"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</si>
  <si>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</si>
  <si>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"Защита населения и территории города Щигры от чрезвычайных ситуаций, обеспечение пожарной безопасности и безопасности людей на водных объектах"</t>
  </si>
  <si>
    <t>Основное мероприятие "Развитие библиотечного дела"</t>
  </si>
  <si>
    <t>08 1 01 С1458</t>
  </si>
  <si>
    <t>Развитие системы оздоровления  и отдыха детей</t>
  </si>
  <si>
    <t>08 1 01 00000</t>
  </si>
  <si>
    <t>Основное мероприятие «Организация оздоровления и отдыха детей в городе Щигры»</t>
  </si>
  <si>
    <t>08 1 00 00000</t>
  </si>
  <si>
    <t>Налоги на товары (работы, услуги), реализуемые на территории Российской Федерации</t>
  </si>
  <si>
    <t>1 03 02230 01 0000 110</t>
  </si>
  <si>
    <t>1 03 02240 01 0000 110</t>
  </si>
  <si>
    <t>Предоставление социальной поддержки отдельным категориям граждан по обеспечению продовольственными товарами</t>
  </si>
  <si>
    <t>Обслуживание государственного (муниципального) долга</t>
  </si>
  <si>
    <t>Расходы на обеспечение деятельности (оказание услуг) муниципальных учреждений</t>
  </si>
  <si>
    <t>Мероприятия, связанные с организацией отдыха детей в каникулярное время</t>
  </si>
  <si>
    <t>2 02 35302 00 0000 150</t>
  </si>
  <si>
    <t>Субвенции бюджетам муниципальных образований на осуществление ежемесячных выплат на детей в возрасте от трех до семи лет включительно</t>
  </si>
  <si>
    <t>2 02 35302 04 0000 150</t>
  </si>
  <si>
    <t>Субвенции бюджетам городских округов  на осуществление  ежемесячных выплат на детей в возрасте от трех до семи лет включительно</t>
  </si>
  <si>
    <t xml:space="preserve">на ежемесячную выплату на детей в возрасте от трех до семи лет включительно, за счет средств областного бюджета </t>
  </si>
  <si>
    <t>Дотации на выравнивание бюджетной обеспеченности</t>
  </si>
  <si>
    <t>Дотации бюджетам городских округов на выравнивание бюджетной обеспеченности из бюджета субъекта Российской Федерации</t>
  </si>
  <si>
    <t>2 02 45424 04 0000 150</t>
  </si>
  <si>
    <t>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</si>
  <si>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2 02 45424 00 0000 150</t>
  </si>
  <si>
    <t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</si>
  <si>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</si>
  <si>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Оновное мероприятие"Введение новых мест в общеобразовательных организациях, в т.ч. путем строительства объектов инфраструктуры общего образования"</t>
  </si>
  <si>
    <t>Ежемесячное денежное вознаграждение за классное руководство педагогическим работникам муниципальных общеобразовательных организаций</t>
  </si>
  <si>
    <t>Ежемесячная выплата на детей в возрасте от трех до семи лет включительно</t>
  </si>
  <si>
    <t>02 3 01 R3020</t>
  </si>
  <si>
    <t>Ежемесячная выплата на детей в возрасте от трех до семи лет включительно, за счет средств областного бюджета</t>
  </si>
  <si>
    <t>02 3 01 R3021</t>
  </si>
  <si>
    <t>Основное мероприятие "Организация временного трудоустройства несовершеннолетних граждан в возрасте от 14 до 18 лет в свободное от учебы время"</t>
  </si>
  <si>
    <t>76 1 00 С1481</t>
  </si>
  <si>
    <t>Мероприятия по обеспечению мобилизационной готовности экономики</t>
  </si>
  <si>
    <t>76 1 00 00000</t>
  </si>
  <si>
    <t>Выполнение других обязательств города Щигры</t>
  </si>
  <si>
    <t>76 0 00 00000</t>
  </si>
  <si>
    <t>Реализация государственных функций, связанных с общегосударственным управлением</t>
  </si>
  <si>
    <t>Мобилизационная подготовка экономики</t>
  </si>
  <si>
    <t>Национальная оборона</t>
  </si>
  <si>
    <t>Рз</t>
  </si>
  <si>
    <t>ПР</t>
  </si>
  <si>
    <t>ЦСР</t>
  </si>
  <si>
    <t>ВР</t>
  </si>
  <si>
    <t>4</t>
  </si>
  <si>
    <t>5</t>
  </si>
  <si>
    <t>6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</si>
  <si>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</si>
  <si>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</si>
  <si>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</si>
  <si>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04</t>
  </si>
  <si>
    <t>06</t>
  </si>
  <si>
    <t>Резервные фонды</t>
  </si>
  <si>
    <t>11</t>
  </si>
  <si>
    <t>Приложение №9</t>
  </si>
  <si>
    <t>Жилищно-коммунальное хозяйство</t>
  </si>
  <si>
    <t xml:space="preserve">Сумма
</t>
  </si>
  <si>
    <t>ДОХОДЫ, ВСЕГО</t>
  </si>
  <si>
    <t>для осуществления отдельных государственных полномочий, связанных с предоставлением социальной поддержки отдельным категориям граждан по обеспечению продовольственными товарами по сниженным ценам</t>
  </si>
  <si>
    <t>на выплату ежемесячного пособия на ребенка</t>
  </si>
  <si>
    <t>на содержание работников, осуществляющих переданные государственные полномочия в сфере социальной защиты населения</t>
  </si>
  <si>
    <t>003</t>
  </si>
  <si>
    <t>Ревизионная комиссия города Щигры</t>
  </si>
  <si>
    <t>1 05 04000 02 0000 110</t>
  </si>
  <si>
    <t>Налог, взимаемый в связи с применением патентной системы налогообложения</t>
  </si>
  <si>
    <t>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</si>
  <si>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</si>
  <si>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Другие вопросы в области национальной экономики</t>
  </si>
  <si>
    <t>01 00 00 00 00 0000 000</t>
  </si>
  <si>
    <t>08</t>
  </si>
  <si>
    <t>10</t>
  </si>
  <si>
    <t>Ежемесячное пособие на ребенка</t>
  </si>
  <si>
    <t>07 3 00 00000</t>
  </si>
  <si>
    <t>03 0 00 00000</t>
  </si>
  <si>
    <t>03 2 00 00000</t>
  </si>
  <si>
    <t>03 2 01 00000</t>
  </si>
  <si>
    <t>Благоустройство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</si>
  <si>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</si>
  <si>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</si>
  <si>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</si>
  <si>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</si>
  <si>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</si>
  <si>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Социальная политика</t>
  </si>
  <si>
    <t>Социальное обеспечение населения</t>
  </si>
  <si>
    <t>Охрана семьи и детства</t>
  </si>
  <si>
    <t>Приложение №8</t>
  </si>
  <si>
    <t>2 02 20000 00 0000 150</t>
  </si>
  <si>
    <t>2 02 29999 04 0000 150</t>
  </si>
  <si>
    <t>Доходы от оказания платных услуг и компенсации затрат государства</t>
  </si>
  <si>
    <t>Другие вопросы в области социальной политики</t>
  </si>
  <si>
    <t>001</t>
  </si>
  <si>
    <t>Субвенции на осуществление отдельных государственных полномочий Курской области в соответствии с Законом Курской области "О наделении органов местного самоуправления Курской области отдельными государственными полномочиями Курской области в сфере социальной защиты населения "</t>
  </si>
  <si>
    <t>Субвенции на осуществление отдельных государственных полномочий в соответствии с Законом Курской области "О наделении органов местного самоуправления Курской области отдельными государственными полномочиями по организации мероприятий при осуществлении деятельности по обращению с животными без владельцев"</t>
  </si>
  <si>
    <t>в т.ч. на организацию мероприятий при осуществлении деятельности по обращению с животными без владельцев</t>
  </si>
  <si>
    <t>на содержание работников, осуществляющих отдельные государственные полномочия по организации при осуществлении деятельности по обращению с животными без владельцев</t>
  </si>
  <si>
    <t>Изменение остатков средств на счетах по учету средств бюджетов</t>
  </si>
  <si>
    <t>01 05 02 01 00 0000 510</t>
  </si>
  <si>
    <t>Уменьшение остатков средств бюджетов</t>
  </si>
  <si>
    <t>руб.</t>
  </si>
  <si>
    <t>Обеспечение функционирования главы муниципального образования</t>
  </si>
  <si>
    <t>Подпрограмма "Содействие временной занятости отдельных категорий граждан" муниципальной программы "Содействие занятости населения в городе Щигры Курской области"</t>
  </si>
  <si>
    <t>Подпрограмма "Развитие институтов рынка труда" муниципальной программы "Содействие занятости населения в городе Щигры Курской области"</t>
  </si>
  <si>
    <t>Подпрограмма "Наследие" муниципальной программы "Развитие культуры в городе Щигры"</t>
  </si>
  <si>
    <t>Подпрограмма "Искусство"  муниципальной программы "Развитие культуры в городе Щигры"</t>
  </si>
  <si>
    <t>Основное мероприятие "Обеспечение деятельности и выполнение функций отдела по опеке и попечительству администрации города Щигры Курской области"</t>
  </si>
  <si>
    <t>Обеспечение мер социальной поддержки ветеранов труда</t>
  </si>
  <si>
    <t>Обеспечение мер социальной поддержки тружеников тыла</t>
  </si>
  <si>
    <t>Содержание ребенка в семье опекуна и приемной семье, а также вознаграждение, причитающееся приемному родителю</t>
  </si>
  <si>
    <t>100</t>
  </si>
  <si>
    <t>Общегосударственные вопросы</t>
  </si>
  <si>
    <t>Основное мероприятие"Обеспечение деятельности и выполнение функций Финансово-экономического управления администрации города Щигры"</t>
  </si>
  <si>
    <t>02 3 03 00000</t>
  </si>
  <si>
    <t>Содержание работников, осуществляющих переданные государственные полномочия по выплате компенсации части родительской платы</t>
  </si>
  <si>
    <t>Сумма на 2023 год</t>
  </si>
  <si>
    <t>Субвенции на осуществление отдельных государственных полномочий Курской области в соответствии с Законом Курской области "О наделении органов местного самоуправления Курской области отдельными государственными полномочиями Курской области по осуществлению выплаты компенсации части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образования"</t>
  </si>
  <si>
    <t>1 11 05012 04 0000 120</t>
  </si>
  <si>
    <t>1 11 05070 00 0000 120</t>
  </si>
  <si>
    <t>2023г</t>
  </si>
  <si>
    <t>2 02 20299 04 0000 150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</si>
  <si>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</si>
  <si>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2 02 20299 00 0000 150</t>
  </si>
  <si>
    <t>Плата за выбросы загрязняющих веществ в атмосферный воздух стационарными объектами</t>
  </si>
  <si>
    <t>1 12 01030 01 0000 120</t>
  </si>
  <si>
    <t>Плата за сбросы загрязняющих веществ в водные объекты</t>
  </si>
  <si>
    <t>1 13 00000 00 0000 000</t>
  </si>
  <si>
    <t>1 13 01990 00 0000 130</t>
  </si>
  <si>
    <t xml:space="preserve">Прочие доходы от оказания платных услуг (работ) получателями средств бюджетов городских округов </t>
  </si>
  <si>
    <t>1 05 03010 01 0000 110</t>
  </si>
  <si>
    <t xml:space="preserve">Единый сельскохозяйственный налог 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</si>
  <si>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</si>
  <si>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</si>
  <si>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</si>
  <si>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</si>
  <si>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1 06 01020 04 0000 110</t>
  </si>
  <si>
    <t>Подпрограмма  Управление муниципальной программой и обеспечение условий реализации" муниципальной программы "Социальная поддержка граждан в городе Щигры"</t>
  </si>
  <si>
    <t>Оказание финансовой поддержки общественным организациям ветеранов войны, труда, Вооруженных Сил и правоохранительных органов</t>
  </si>
  <si>
    <t>Непрограммная деятельность органов местного самоуправления</t>
  </si>
  <si>
    <t>11 1 02 S3390</t>
  </si>
  <si>
    <t>Реализация мероприятий по  капитальному ремонту, ремонту и содержанию автомобильных дорог общего пользования местного значения</t>
  </si>
  <si>
    <t>Осуществление инженерных мероприятий, направленных на совершенствование организации движения транспортных средств и пешеходов</t>
  </si>
  <si>
    <t>15 0 00 00000</t>
  </si>
  <si>
    <t>Обеспечение условий для развития малого и среднего предпринимательства на территории муниципального образования</t>
  </si>
  <si>
    <t>15 0 01 00000</t>
  </si>
  <si>
    <t>Финансовая и имущественная поддержка субъектов малого и среднего предпринимательства</t>
  </si>
  <si>
    <t>Организация отдыха детей в каникулярное время</t>
  </si>
  <si>
    <t>08 1 01 13540</t>
  </si>
  <si>
    <t>Непрограммные расходы органов местного самоуправления</t>
  </si>
  <si>
    <t>Основное мероприятие "Обеспечение деятельности и выполнение функций отдела образования администрации города Щигры"</t>
  </si>
  <si>
    <t>21 0 00 00000</t>
  </si>
  <si>
    <t>03 1 03 00000</t>
  </si>
  <si>
    <t>03 1 03 С1402</t>
  </si>
  <si>
    <t>Основное мероприятие "Поддержка творческих инициатив населения, творческого потенциала, а также организаций в сфере культуры в городе Щигры"</t>
  </si>
  <si>
    <t>Основное мероприятие "Оказание мер социальной поддержки ветеранам труда и труженикам тыла"</t>
  </si>
  <si>
    <t>02 2 01 13150</t>
  </si>
  <si>
    <t>02 2 01 13160</t>
  </si>
  <si>
    <t>Основное мероприятие "Оказание социальной поддержки отдельным категориям граждан по обеспечению продовольственными товарами"</t>
  </si>
  <si>
    <t>01 05 00 00 00 0000 600</t>
  </si>
  <si>
    <t>01 05 02 00 00 0000 600</t>
  </si>
  <si>
    <t>Уменьшение прочих остатков средств  бюджетов</t>
  </si>
  <si>
    <t>01 05 02 01 00 0000 610</t>
  </si>
  <si>
    <t>Уменьшение прочих остатков денежных средств  бюджетов</t>
  </si>
  <si>
    <t>01 05 02 01 04 0000 610</t>
  </si>
  <si>
    <t>Уменьшение  прочих остатков денежных средств   бюджетов городских округов</t>
  </si>
  <si>
    <t>05</t>
  </si>
  <si>
    <t>07</t>
  </si>
  <si>
    <t>Платежи от государственных и муниципальных унитарных предприятий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</si>
  <si>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</si>
  <si>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</si>
  <si>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1 11 09000 00 0000 120</t>
  </si>
  <si>
    <t>1 11 09040 00 0000 120</t>
  </si>
  <si>
    <t>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</si>
  <si>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</si>
  <si>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1 12 00000 00 00000 00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</si>
  <si>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</si>
  <si>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</si>
  <si>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</si>
  <si>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1 12 01010 01 0000 120</t>
  </si>
  <si>
    <t>1 16 01143 01 0000 140</t>
  </si>
  <si>
    <t>Административные штрафы, установленные главой 14 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</si>
  <si>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1 16 01153 01 0000 140</t>
  </si>
  <si>
    <t>Административные штрафы, установленные главой 15 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 пункте 6 статьи 46 Бюджетного кодекса Российской Федерации), налагаемые мировыми судьями, комиссиями по делам несовершеннолетних и защите их прав</t>
  </si>
  <si>
    <t>1 16 01193 01 0000 140</t>
  </si>
  <si>
    <t>Административные штрафы, установленные главой 19 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</si>
  <si>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1 16 10123 01 0000 140</t>
  </si>
  <si>
    <t>1 16 01053 01 0000 140</t>
  </si>
  <si>
    <t>Административные штрафы, установленные главой 5 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</si>
  <si>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1 16 01063 01 0000 140</t>
  </si>
  <si>
    <t>Административные штрафы, установленные главой 6 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</si>
  <si>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1 16 10129 01 0000 140</t>
  </si>
  <si>
    <t>1 16 01203 01 0000 140</t>
  </si>
  <si>
    <t>Административные штрафы, установленные главой 20 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</si>
  <si>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Реализация основных общеобразовательных и дополнительных общеобразовательных программ в части финансирования расходов на оплату труда работников муниципальных общеобразовательных организаций, расходов на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</si>
  <si>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71 0 00 00000</t>
  </si>
  <si>
    <t>71 1 00 00000</t>
  </si>
  <si>
    <t>71 1 00 С1402</t>
  </si>
  <si>
    <t>73 0 00 00000</t>
  </si>
  <si>
    <t>73 1 00 00000</t>
  </si>
  <si>
    <t>73 1 00 13480</t>
  </si>
  <si>
    <t>73 1 00 С1402</t>
  </si>
  <si>
    <t>14 0 00 00000</t>
  </si>
  <si>
    <t>14 3 00 00000</t>
  </si>
  <si>
    <t>14 3 01 С1402</t>
  </si>
  <si>
    <t>74 0 00 00000</t>
  </si>
  <si>
    <t>74 1 00 00000</t>
  </si>
  <si>
    <t>74 1 00 С1402</t>
  </si>
  <si>
    <t>78 0 00 00000</t>
  </si>
  <si>
    <t>78 1 00 00000</t>
  </si>
  <si>
    <t>Развитие рынка труда, повышение эффективности занятости населения</t>
  </si>
  <si>
    <t>Муниципальная программа"Содействие занятости населения  в городе  Щигры Курской области"</t>
  </si>
  <si>
    <t>03 3 E2 00000</t>
  </si>
  <si>
    <t>03 3 E2 54910</t>
  </si>
  <si>
    <t>07 2 F3 67483</t>
  </si>
  <si>
    <t>07 2 F3 67484</t>
  </si>
  <si>
    <t xml:space="preserve">Подпрограмма "Развитие дополнительного образования и системы воспитания детей" муниципальной программы  "Развитие образования  в г. Щигры Курской области" </t>
  </si>
  <si>
    <t xml:space="preserve">Подпрограмма "Управление муниципальной программой и обеспечение условий реализации"  муниципальной программы "Развитие образования в г. Щигры Курской области" </t>
  </si>
  <si>
    <t>Региональный проект "Формирование комфортной городской среды"</t>
  </si>
  <si>
    <t>Содержание работников, осуществляющих отдельные государственные полномочия по назначению и выплате ежемесячной денежной выплаты на ребенка  в возрасте от трех до семи лет включительно</t>
  </si>
  <si>
    <t>Муниципальная программа "Управление муниципальным имуществом и земельными ресурсами муниципального образования "город Щигры" Курской области на 2019-2023 годы"</t>
  </si>
  <si>
    <t>Подпрограмма "Проведение муниципальной политики в области имущественных и земельных отношений" муниципальной программы "Управление муниципальным имуществом и земельными ресурсами муниципального образования "город Щигры" Курской области на 2019-2023годы"</t>
  </si>
  <si>
    <t>Муниципальная программа "Профилактика наркомании и медико-социальная реабилитация больных наркоманией в городе Щигры на 2018-2023 годы"</t>
  </si>
  <si>
    <t>Подпрограмма "Медико-социальная реабилитация больных наркоманией" муниципальной программы "Профилактика наркомании и медико-социальная реабилитация больных наркоманией в городе Щигры на 2018-2023 годы"</t>
  </si>
  <si>
    <t>Субвенции бюджетам городских округов на осуществление отдельных государственных полномочий Курской области в соответствии с Законом Курской области "О наделении органов местного самоуправления муниципальных образований Курской области государственными полномочиями Курской области на осуществление отдельных видов деятельности по профилактике безнадзорности и правонарушений несовершеннолетних"</t>
  </si>
  <si>
    <t>76 1 00 С1404</t>
  </si>
  <si>
    <t xml:space="preserve">77 2 00 00000 </t>
  </si>
  <si>
    <t>Мероприятия  по реализации проекта "Народный бюджет"</t>
  </si>
  <si>
    <t>Обеспечение проведения капитального ремонта муниципальных образовательных организаций</t>
  </si>
  <si>
    <t>03 2 04 S3050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</si>
  <si>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</si>
  <si>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Культура, кинематография</t>
  </si>
  <si>
    <t>Национальная экономика</t>
  </si>
  <si>
    <t>Общеэкономические вопросы</t>
  </si>
  <si>
    <t>Приложение №3</t>
  </si>
  <si>
    <t>рублей</t>
  </si>
  <si>
    <t>Коды бюджетной классификации Российской Федерации</t>
  </si>
  <si>
    <t>1 00 00000 00 0000 000</t>
  </si>
  <si>
    <t>НАЛОГОВЫЕ И НЕНАЛОГОВЫЕ ДОХОДЫ</t>
  </si>
  <si>
    <t>1 01 00000 00 0000 000</t>
  </si>
  <si>
    <t>Обеспечение деятельности и выполнение функций органов местного самоуправления</t>
  </si>
  <si>
    <t>Мероприятия по благоустройству</t>
  </si>
  <si>
    <t>Расходы на обеспечение деятельности (оказание услуг) муниципальных  учреждений</t>
  </si>
  <si>
    <t>Приложение №2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</si>
  <si>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</si>
  <si>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</si>
  <si>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</si>
  <si>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</si>
  <si>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</si>
  <si>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1 01 02020 01 0000 110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</si>
  <si>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</si>
  <si>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</si>
  <si>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1 03 00000 00 0000 000</t>
  </si>
  <si>
    <t xml:space="preserve">Строительство (реконструкция) автомобильных дорог общего пользования местного значения </t>
  </si>
  <si>
    <t>11 1 05 С1423</t>
  </si>
  <si>
    <t>Дополнительное финансирование мероприятий по организации питания обучающихся из малоимущих и (или) многодетных семей, а также обучающихся с ограниченными возможностями здоровья в муниципальных общеобразовательных организациях</t>
  </si>
  <si>
    <t>03 2 04 13090</t>
  </si>
  <si>
    <t>Реализация проекта "Народный бюджет" в Курской области</t>
  </si>
  <si>
    <t>Региональный проект "Обеспечение устойчивого сокращения непригодного для проживания жилищного фонда"</t>
  </si>
  <si>
    <t>Региональный проект "Современная школа"</t>
  </si>
  <si>
    <t>Муниципальная программа "Социальная поддержка граждан в городе Щигры"</t>
  </si>
  <si>
    <t>Основное мероприятие «Участие в международных,межрегиональных и областных выставках, ярмарках, конкурсах, конференциях, семинарах, фестивалях»</t>
  </si>
  <si>
    <t>08 1 12 00000</t>
  </si>
  <si>
    <t>08 1 12 С1414</t>
  </si>
  <si>
    <t>Реализация мероприятий в сфере молодежной политики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</si>
  <si>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</si>
  <si>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Основное мероприятие "Обеспечение реализации комплекса мер, направленных на улучшение демографической ситуации в городе Щигры"</t>
  </si>
  <si>
    <t>02 3 01 11130</t>
  </si>
  <si>
    <t>02 3 02 00000</t>
  </si>
  <si>
    <t>02 3 02 13190</t>
  </si>
  <si>
    <t>Основное мероприятие "Финансовое обеспечение полномочий, переданных местным бюджетам на содержание работников, в сфере социальной защиты населения"</t>
  </si>
  <si>
    <t>02 1 02 00000</t>
  </si>
  <si>
    <t>02 1 02 13220</t>
  </si>
  <si>
    <t>Условно-утвержденные расходы</t>
  </si>
  <si>
    <t>Субвенции бюджетам городских округов на осуществление отдельных государственных полномочий в соответствии с Законом Курской области "О наделении органов местного самоуправления муниципальных образований Курской области отдельными государственными полномочиями по организации и обеспечению деятельности административных комиссий"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</si>
  <si>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</si>
  <si>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Содержание работников, осуществляющих отдельные государственные полномочия по организации  мероприятий при осуществлении деятельности по обращению с животными без владельцев</t>
  </si>
  <si>
    <t>Организация мероприятий при осуществлении деятельности по обращению с животными без владельцев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</si>
  <si>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</si>
  <si>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</si>
  <si>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</si>
  <si>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2 02 35303 00 0000 150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</si>
  <si>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</si>
  <si>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2 02 35303 04 0000 150</t>
  </si>
  <si>
    <t>Прочие безвозмездные поступления в бюджеты городских округов</t>
  </si>
  <si>
    <t>2 07 04050 04 0000 180</t>
  </si>
  <si>
    <t>2 07 04000 04 0000 150</t>
  </si>
  <si>
    <t>ПРОЧИЕ БЕЗВОЗМЕЗДНЫЕ ПОСТУПЛЕНИЯ</t>
  </si>
  <si>
    <t>Субвенции бюджетам городских округов на проведение Всероссийской переписи населения 2020 года</t>
  </si>
  <si>
    <t>2 02 35469 04 0000 150</t>
  </si>
  <si>
    <t>Субвенции бюджетам на проведение Всероссийской переписи населения 2020 года</t>
  </si>
  <si>
    <t>2 02 35469 00 0000 150</t>
  </si>
  <si>
    <t>Субсидии местным бюджетам на озеленение территорий населенных пунктов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</si>
  <si>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</si>
  <si>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2 02 25467 04 0000 150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</si>
  <si>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</si>
  <si>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2 02 25467 00 0000 150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</si>
  <si>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</si>
  <si>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1 16 07090 00 0000 140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</si>
  <si>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</si>
  <si>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Административные штрафы, установленные главой 20 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</si>
  <si>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1 16 01200 01 0000 140</t>
  </si>
  <si>
    <t>Административные штрафы, установленные главой 19 Кодекса Российской Федерации об административных правонарушениях, за административные правонарушения против порядка управления</t>
  </si>
  <si>
    <t>1 16 01190 01 0000 140</t>
  </si>
  <si>
    <t>Административные штрафы, установленные главой 15 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</si>
  <si>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1 16 01150 01 0000 140</t>
  </si>
  <si>
    <t>Административные штрафы, установленные главой 14 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</si>
  <si>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1 16 01140 01 0000 140</t>
  </si>
  <si>
    <t>Административные штрафы, установленные главой 6 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</si>
  <si>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1 16 01060 01 0000 140</t>
  </si>
  <si>
    <t>Административные штрафы, установленные главой 5 Кодекса Российской Федерации об административных правонарушениях, за административные правонарушения, посягающие на права граждан</t>
  </si>
  <si>
    <t>1 16 01050 01 0000 140</t>
  </si>
  <si>
    <t>Доходы от оказания платных услуг (работ)</t>
  </si>
  <si>
    <t>1 13 01000 00 0000 130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</si>
  <si>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</si>
  <si>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</si>
  <si>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Акцизы по подакцизным товарам (продукции), производимым на территории Российской Федерации</t>
  </si>
  <si>
    <t>1 03 02000 01 0000 110</t>
  </si>
  <si>
    <t>01 3 01 L4670</t>
  </si>
  <si>
    <t>Обеспечение развития и укрепления метериально-технической базы домов культуры в населенных пунктах с числом жителей до 50 тысяч человек</t>
  </si>
  <si>
    <t>07 3 02 S3290</t>
  </si>
  <si>
    <t>Обеспечение мероприятий по озеленению</t>
  </si>
  <si>
    <t>07 3 02 13290</t>
  </si>
  <si>
    <t>Озеленение</t>
  </si>
  <si>
    <t>77 2 00 54690</t>
  </si>
  <si>
    <t>Проведение Всероссийской  переписи населения 2020 года</t>
  </si>
  <si>
    <t xml:space="preserve"> </t>
  </si>
  <si>
    <t>1 01 02080 01 0000 110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</si>
  <si>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</si>
  <si>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</si>
  <si>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</si>
  <si>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1 12 01040 01 0000 120</t>
  </si>
  <si>
    <t>Плата за размещение отходов производства и потребления</t>
  </si>
  <si>
    <t>1 12 01041 01 0000 120</t>
  </si>
  <si>
    <t>Плата за размещение отходов производства</t>
  </si>
  <si>
    <t>Прочие доходы от оказания платных услуг (работ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</si>
  <si>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</si>
  <si>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</si>
  <si>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1 14 02040 04 0000 410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</si>
  <si>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</si>
  <si>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имуществу,</t>
  </si>
  <si>
    <t>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</si>
  <si>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</si>
  <si>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</si>
  <si>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</si>
  <si>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1 16 01100 01 0000 140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</si>
  <si>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</si>
  <si>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1 16 01103 01 0000 140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</si>
  <si>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</si>
  <si>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1 16 01130 01 0000 140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</si>
  <si>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</si>
  <si>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1 16 01133 01 0000 140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</si>
  <si>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</si>
  <si>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</si>
  <si>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</si>
  <si>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</si>
  <si>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</si>
  <si>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1 16 11000 01 0000 140</t>
  </si>
  <si>
    <t>Платежи, уплачиваемые в целях возмещения вреда</t>
  </si>
  <si>
    <t>1 16 11050 01 0000 140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</si>
  <si>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</si>
  <si>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1 17 05000 00 0000 180</t>
  </si>
  <si>
    <t>Прочие неналоговые доходы</t>
  </si>
  <si>
    <t>2 02 15002 00 0000 150</t>
  </si>
  <si>
    <t>Дотации бюджетам на поддержку мер по обеспечению сбалансированности бюджетов</t>
  </si>
  <si>
    <t>2 02 15002 04 0000 150</t>
  </si>
  <si>
    <t>Дотации бюджетам городских округов на поддержку мер по обеспечению сбалансированности бюджетов</t>
  </si>
  <si>
    <t>2 02 19999 00 0000 150</t>
  </si>
  <si>
    <t>Прочие дотации</t>
  </si>
  <si>
    <t>2 02 19999 04 0000 150</t>
  </si>
  <si>
    <t>Прочие дотации бюджетам городских округов</t>
  </si>
  <si>
    <t>2 02 35120 00 0000 150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</si>
  <si>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</si>
  <si>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</si>
  <si>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</si>
  <si>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Судебная система</t>
  </si>
  <si>
    <t>Осуществление полномочий по составлению (изменению) списков кандидатов в присяжные заседатели федеральных судов общей юрисдикции в РФ</t>
  </si>
  <si>
    <t>77 2 00 51200</t>
  </si>
  <si>
    <t>Обеспечение первичных мер пожарной безопасности в границах населенных пунктов муниципальных образований</t>
  </si>
  <si>
    <t>13 2 01 С1460</t>
  </si>
  <si>
    <t>Основное мероприятие "Благоустройство территории общего пользования города Щигры Курской области"</t>
  </si>
  <si>
    <t>21 0 02 00000</t>
  </si>
  <si>
    <t>Обеспечение реализации программ формирования современной городской среды</t>
  </si>
  <si>
    <t>21 0 02 С5550</t>
  </si>
  <si>
    <t>03 2 E4 С1401</t>
  </si>
  <si>
    <t>ПРОГНОЗИРУЕМОЕ ПОСТУПЛЕНИЕ  ДОХОДОВ В БЮДЖЕТ ГОРОДА ЩИГРЫ В 2022 ГОДУ</t>
  </si>
  <si>
    <t>2 02 35082 00 0000 150</t>
  </si>
  <si>
    <t>2 02 35082 04 0000 150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</si>
  <si>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</si>
  <si>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</si>
  <si>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Основное мероприятие "Создание на территории города Щигры комплексной системы обеспечения безопасности жизнедеятельности населения АПК «Безопасный город» "</t>
  </si>
  <si>
    <t>13 1 00 00000</t>
  </si>
  <si>
    <t>13 1 02 00000</t>
  </si>
  <si>
    <t>13 1 02 С1435</t>
  </si>
  <si>
    <t>Транспорт</t>
  </si>
  <si>
    <t>Подпрограмма "Развитие пассажирских перевозок в городе Щигры Курской области"</t>
  </si>
  <si>
    <t>Основное мероприятие "Содействие повышению доступности автомобильных перевозок населению города Щигры Курской области"</t>
  </si>
  <si>
    <t>Мероприятия по другим видам транспорта</t>
  </si>
  <si>
    <t>1100000000</t>
  </si>
  <si>
    <t>1130000000</t>
  </si>
  <si>
    <t>1130100000</t>
  </si>
  <si>
    <t>11301С1426</t>
  </si>
  <si>
    <t>ИСТОЧНИКИ  ФИНАНСИРОВАНИЯ ДЕФИЦИТА БЮДЖЕТА ГОРОДА ЩИГРЫ НА 2022 ГОД</t>
  </si>
  <si>
    <t>2024г</t>
  </si>
  <si>
    <t>Мероприятия по внесению в ЕГРН сведений о границах муниципальных образований и границах населенных пунктов</t>
  </si>
  <si>
    <t>77 2 00 S3600</t>
  </si>
  <si>
    <t>77 2 00 13600</t>
  </si>
  <si>
    <t>Распределение бюджетных ассигнований по разделам, подразделам, целевым статьям (муниципальным программам  и непрограммным направлениям деятельности), группам видов расходов классификации расходов бюджета города Щигры на 2023-2024 год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</si>
  <si>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</si>
  <si>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ИСТОЧНИКИ  ФИНАНСИРОВАНИЯ ДЕФИЦИТА БЮДЖЕТА ГОРОДА ЩИГРЫ НА 2023-2024  ГОДЫ</t>
  </si>
  <si>
    <t>Распределение бюджетных ассигнований по разделам, подразделам, целевым статьям (муниципальным программам  и непрограммным направлениям деятельности), группам видов расходов классификации расходов бюджета города Щигры на 2022 год</t>
  </si>
  <si>
    <t>Приложение № 6</t>
  </si>
  <si>
    <t>02 3 04 00000</t>
  </si>
  <si>
    <t>02 3 04 R0821</t>
  </si>
  <si>
    <t>Ведомственная структура расходов бюджета города Щигры на 2022 год</t>
  </si>
  <si>
    <t>11 3 00 00000</t>
  </si>
  <si>
    <t>11 3 01 00000</t>
  </si>
  <si>
    <t>11 3 01 С1426</t>
  </si>
  <si>
    <t>Распределение бюджетных ассигнований по  целевым статьям (муниципальным программам и непрограммным направлениям деятельности), группам видов расходов классификации расходов бюджета города Щигры на 2022 год</t>
  </si>
  <si>
    <t>Ведомственная структура расходов бюджета города Щигры на 2023-2024 год</t>
  </si>
  <si>
    <t>Сумма на 2024 год</t>
  </si>
  <si>
    <t>Распределение бюджетных ассигнований по  целевым статьям (муниципальным программам и непрограммным направлениям деятельности), группам видов расходов классификации расходов бюджета города Щигры на 2023-2024 год</t>
  </si>
  <si>
    <t>13 1 01 С1401</t>
  </si>
  <si>
    <t>Основное мероприятие "Обеспечение эффективного повседневного функционирования системы гражданской обороны, защиты населения и территории от чрезвычайных ситуаций и обеспечения безопасности людей на водных объектах"</t>
  </si>
  <si>
    <t>Подпрограмма "Пожарная безопасность и защита населения" муниципальной программы "Защита населения и территории города Щигры от чрезвычайных ситуаций, обеспечение пожарной безопасности и безопасности людей на водных объектах"</t>
  </si>
  <si>
    <t>Основное мероприятие "Повышение степени пожарной безопасности"</t>
  </si>
  <si>
    <t>02 3 04 0000</t>
  </si>
  <si>
    <t>13 1 01 00000</t>
  </si>
  <si>
    <t xml:space="preserve">Основное мероприятие  "Улучшение демографической ситуации, совершенствование социальной поддержки семьи и детей" </t>
  </si>
  <si>
    <t>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</si>
  <si>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Субсидии бюджетам городских округов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</si>
  <si>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Субсидии бюджетам на обеспечение образовательных организаций материально-технической базой для внедрения цифровой образовательной среды</t>
  </si>
  <si>
    <t>Субсидии бюджетам городских округов на обеспечение образовательных организаций материально-технической базой для внедрения цифровой образовательной среды</t>
  </si>
  <si>
    <t>1 16 07000 00 0000 140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</si>
  <si>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</si>
  <si>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Обеспечение проведения выборов и референдумов</t>
  </si>
  <si>
    <t>Организация и проведение выборов и референдумов</t>
  </si>
  <si>
    <t>7700000000</t>
  </si>
  <si>
    <t>7730000000</t>
  </si>
  <si>
    <t>77300С1441</t>
  </si>
  <si>
    <t>Коммунальное хозяйство</t>
  </si>
  <si>
    <t>Муниципальная программа города Щигры Курской области "Обеспечение доступным и комфортным жильем и коммунальными услугами граждан в городе Щигры Курской области"</t>
  </si>
  <si>
    <t>Подпрограмма "Обеспечение качественными услугами ЖКХ населения города Щигры Курской области" муниципальной программы города Щигры Курской области "Обеспечение доступным и комфортным жильем и коммунальными услугами граждан в городе Щигры Курской области"</t>
  </si>
  <si>
    <t>Основное мероприятие «Реализация мероприятий в области коммунального хозяйства»</t>
  </si>
  <si>
    <t>Мероприятия в области коммунального хозяйства</t>
  </si>
  <si>
    <t>07 3 03 00000</t>
  </si>
  <si>
    <t>07 3 03 С1431</t>
  </si>
  <si>
    <t>Пенсионное обеспечение</t>
  </si>
  <si>
    <t>Основное мероприятие "Выплата пенсии за выслугу лет и доплат к пенсиям муниципальным служащим"</t>
  </si>
  <si>
    <t>Выплата пенсий за выслугу лет и доплат к пенсиям муниципальных служащих</t>
  </si>
  <si>
    <t>02 2 05 00000</t>
  </si>
  <si>
    <t>02 2 05 С1445</t>
  </si>
  <si>
    <t>03 2 03 53030</t>
  </si>
  <si>
    <t>Основное мероприятие "Финансовая поддержка субъектов малого и среднего предпринимательства"</t>
  </si>
  <si>
    <t>77 3 00 00000</t>
  </si>
  <si>
    <t>77 3 00 С1441</t>
  </si>
  <si>
    <t>Оснвное мероприятие "Модернизация существующей инфраструктуры общего образования путем проведения работ по капитальному ремонту зданий (помещений) муниципальных общеобразовательных организаций и оснащения отремонтированных зданий (помещений) общеобразовательных организаций средствами бучения и воспитания"</t>
  </si>
  <si>
    <t>Реализация мероприятий по модернизации школьных систем образования за счет средств местного бюджета</t>
  </si>
  <si>
    <t>03 2 05 00000</t>
  </si>
  <si>
    <t>03 2 05 S7501</t>
  </si>
  <si>
    <t>03 3 02 00000</t>
  </si>
  <si>
    <t>03 3 02 С1453</t>
  </si>
  <si>
    <t>Основное мероприятие "Обеспечение фукнционирования модели персонифицированного финансирования дополнительного образования детей"</t>
  </si>
  <si>
    <t>Подготовка и проведение выборов</t>
  </si>
  <si>
    <t>Реализация мероприятий по модернизации школьных систем образования за счет средств областного бюджета</t>
  </si>
  <si>
    <t>03 2 05 R7501</t>
  </si>
  <si>
    <t>2 02 25750 04 0000 150</t>
  </si>
  <si>
    <t>2 02 25750 00 0000 150</t>
  </si>
  <si>
    <t>Субсидии бюджетам городских округов на реализацию мероприятий по модернизации школьных систем образования</t>
  </si>
  <si>
    <t>Субсидии бюджетам на реализацию мероприятий по модернизации школьных систем образования</t>
  </si>
  <si>
    <t>2 18 04010 04 0000 150</t>
  </si>
  <si>
    <t>ДОХОДЫ БЮДЖЕТОВ ГОРОДСКИХ ОКРУГОВ ОТ ВОЗВРАТА БЮДЖЕТНЫМИ УЧРЕЖДЕНИЯМИ  ОСТАТКОВ СУБСИДИЙ ПРОШЛЫХ ЛЕТ</t>
  </si>
  <si>
    <t>1 16 01173 01 0000 140</t>
  </si>
  <si>
    <t>1 16 01170 01 0000 140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</si>
  <si>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</si>
  <si>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</si>
  <si>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</si>
  <si>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1 16 01070 01 0000 140</t>
  </si>
  <si>
    <t>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</si>
  <si>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</si>
  <si>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Основное мероприятие "Создание условий для развития социальной и инженерной инфраструктуры муниципального образования "</t>
  </si>
  <si>
    <t xml:space="preserve">Создание условий для развития социальной и инженерной инфраструктуры муниципальных образований </t>
  </si>
  <si>
    <t>07 2 01 С1417</t>
  </si>
  <si>
    <t>1 13 02000 00 0000 130</t>
  </si>
  <si>
    <t>Доходы от компенсации затрат государства</t>
  </si>
  <si>
    <t>1 13 02990 00 0000 130</t>
  </si>
  <si>
    <t>Прочие доходы от компенсации затрат государства</t>
  </si>
  <si>
    <t>1 13 02994 04 0000 130</t>
  </si>
  <si>
    <t>Прочие доходы от компенсации затрат бюджетов городских округов</t>
  </si>
  <si>
    <t>Приложение №11</t>
  </si>
  <si>
    <t>Программа муниципальных внутренних заимствований муниципального образования
"город Щигры" на 2022 год</t>
  </si>
  <si>
    <t>1. Привлечение внутренних заимствований</t>
  </si>
  <si>
    <t>№ п/п</t>
  </si>
  <si>
    <t>Виды долговых обязательств</t>
  </si>
  <si>
    <t>Объем привлечения средств в 2022 году (рублей)</t>
  </si>
  <si>
    <t xml:space="preserve">Предельный срок погашения  долговых обязательств                </t>
  </si>
  <si>
    <t>1.</t>
  </si>
  <si>
    <t>Муниципальные ценные бумаги</t>
  </si>
  <si>
    <t>2.</t>
  </si>
  <si>
    <t>Бюджетные кредиты из других бюджетов бюджетной системы Российской Федерации всего, в том числе:</t>
  </si>
  <si>
    <t>декабрь 2025 года</t>
  </si>
  <si>
    <t>3.</t>
  </si>
  <si>
    <t>Кредиты кредитных организаций</t>
  </si>
  <si>
    <t>Итого</t>
  </si>
  <si>
    <t>2. Погашение внутренних заимствований</t>
  </si>
  <si>
    <t>Объем погашения средств
в 2022 г.(рублей)</t>
  </si>
  <si>
    <t>Приложение №12</t>
  </si>
  <si>
    <t>Программа муниципальных внутренних заимствований
муниципального образования "город Щигры" на плановый период 2023 и 2024 годов</t>
  </si>
  <si>
    <t>Объем привлечения средств в 2023 году (рублей)</t>
  </si>
  <si>
    <t>Объем привлечения средств в 2024 году (рублей)</t>
  </si>
  <si>
    <t>Бюджетные кредиты от других бюджетов бюджетной системы Российской Федерации</t>
  </si>
  <si>
    <t>декабрь 2026 года</t>
  </si>
  <si>
    <t>декабрь 2027 года</t>
  </si>
  <si>
    <t>Объем погашения средств в 2023 году (рублей)</t>
  </si>
  <si>
    <t>Объем погашения средств в 2024 году (рублей)</t>
  </si>
  <si>
    <t>Основное мероприятие "Разработка проектной документации на выполнение работ по сносу (демонтажу) аварийных жилых домов" "</t>
  </si>
  <si>
    <t>07 2 05 00000</t>
  </si>
  <si>
    <t>07 2 05 С1417</t>
  </si>
  <si>
    <t>1 09 00000 00 0000 000</t>
  </si>
  <si>
    <t>ЗАДОЛЖЕННОСТЬ И ПЕРЕРАСЧЕТЫ ПО ОТМЕНЕННЫМ НАЛОГАМ, СБОРАМ И ИНЫМ ОБЯЗАТЕЛЬНЫМ ПЛАТЕЖАМ</t>
  </si>
  <si>
    <t>1 09 04000 00 0000 110</t>
  </si>
  <si>
    <t>Налоги на имущество</t>
  </si>
  <si>
    <t>1 09 04050 00 0000 110</t>
  </si>
  <si>
    <t>Земельный налог (по обязательствам, возникшим до 1 января 2006 года)</t>
  </si>
  <si>
    <t>1 09 04052 04 0000 110</t>
  </si>
  <si>
    <t>Земельный налог (по обязательствам, возникшим до 1 января 2006 года), мобилизуемый на территориях городских округов</t>
  </si>
  <si>
    <t>Реализация мероприятий по модернизации школьных систем образования (Муниципальное бюджетное общеобразовательное учреждение "Средняя общеобразовательная школа №4 г.Щигры Курской области")</t>
  </si>
  <si>
    <t>03205L750Q</t>
  </si>
  <si>
    <t>03 2 05 L750Q</t>
  </si>
  <si>
    <t xml:space="preserve">от 20.12.2022 №25-7-РД </t>
  </si>
  <si>
    <t>от 20.12.2022 № 25-7-РД</t>
  </si>
  <si>
    <t xml:space="preserve">от 20.12.2022 № 25-7-РД 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</si>
</sst>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0"/>
    <numFmt numFmtId="181" formatCode="#,##0.00000"/>
    <numFmt numFmtId="182" formatCode="0.000"/>
    <numFmt numFmtId="183" formatCode="0.0000"/>
    <numFmt numFmtId="184" formatCode="&quot;€&quot;#,##0;\-&quot;€&quot;#,##0"/>
    <numFmt numFmtId="185" formatCode="&quot;€&quot;#,##0;[Red]\-&quot;€&quot;#,##0"/>
    <numFmt numFmtId="186" formatCode="&quot;€&quot;#,##0.00;\-&quot;€&quot;#,##0.00"/>
    <numFmt numFmtId="187" formatCode="&quot;€&quot;#,##0.00;[Red]\-&quot;€&quot;#,##0.00"/>
    <numFmt numFmtId="188" formatCode="_-&quot;€&quot;* #,##0_-;\-&quot;€&quot;* #,##0_-;_-&quot;€&quot;* &quot;-&quot;_-;_-@_-"/>
    <numFmt numFmtId="189" formatCode="_-* #,##0_-;\-* #,##0_-;_-* &quot;-&quot;_-;_-@_-"/>
    <numFmt numFmtId="190" formatCode="_-&quot;€&quot;* #,##0.00_-;\-&quot;€&quot;* #,##0.00_-;_-&quot;€&quot;* &quot;-&quot;??_-;_-@_-"/>
    <numFmt numFmtId="191" formatCode="_-* #,##0.00_-;\-* #,##0.00_-;_-* &quot;-&quot;??_-;_-@_-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#,##0.0"/>
    <numFmt numFmtId="205" formatCode="0.00000"/>
    <numFmt numFmtId="206" formatCode="0000000"/>
    <numFmt numFmtId="207" formatCode="[$-FC19]d\ mmmm\ yyyy\ &quot;г.&quot;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8"/>
      <name val="Times New Roman"/>
      <family val="1"/>
    </font>
    <font>
      <b/>
      <i/>
      <sz val="10"/>
      <name val="Arial"/>
      <family val="2"/>
    </font>
    <font>
      <sz val="10"/>
      <color indexed="63"/>
      <name val="Arial"/>
      <family val="2"/>
    </font>
    <font>
      <sz val="9"/>
      <name val="Arial"/>
      <family val="2"/>
    </font>
    <font>
      <b/>
      <sz val="10"/>
      <color indexed="63"/>
      <name val="Arial"/>
      <family val="2"/>
    </font>
    <font>
      <sz val="10"/>
      <name val="Arial Cyr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3"/>
      <name val="Times New Roman"/>
      <family val="1"/>
    </font>
    <font>
      <sz val="10"/>
      <color indexed="12"/>
      <name val="Arial"/>
      <family val="2"/>
    </font>
    <font>
      <u val="single"/>
      <sz val="10"/>
      <color theme="10"/>
      <name val="Arial"/>
      <family val="2"/>
    </font>
    <font>
      <sz val="10"/>
      <color rgb="FF000000"/>
      <name val="Times New Roman"/>
      <family val="1"/>
    </font>
    <font>
      <u val="single"/>
      <sz val="10"/>
      <color theme="11"/>
      <name val="Arial"/>
      <family val="2"/>
    </font>
    <font>
      <sz val="10"/>
      <color rgb="FF22272F"/>
      <name val="Arial"/>
      <family val="2"/>
    </font>
    <font>
      <sz val="11"/>
      <color rgb="FF22272F"/>
      <name val="Times New Roman"/>
      <family val="1"/>
    </font>
    <font>
      <sz val="10"/>
      <color rgb="FF6600FF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/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hair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>
        <color indexed="8"/>
      </bottom>
    </border>
    <border>
      <left style="thin"/>
      <right style="thin"/>
      <top style="hair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hair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44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 vertical="top" wrapText="1"/>
      <protection/>
    </xf>
    <xf numFmtId="0" fontId="32" fillId="0" borderId="0">
      <alignment vertical="top" wrapText="1"/>
      <protection/>
    </xf>
    <xf numFmtId="0" fontId="32" fillId="0" borderId="0">
      <alignment vertical="top" wrapText="1"/>
      <protection/>
    </xf>
    <xf numFmtId="0" fontId="32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170" fontId="32" fillId="0" borderId="0">
      <alignment vertical="top" wrapText="1"/>
      <protection/>
    </xf>
    <xf numFmtId="170" fontId="32" fillId="0" borderId="0">
      <alignment vertical="top" wrapText="1"/>
      <protection/>
    </xf>
    <xf numFmtId="0" fontId="46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531"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0" xfId="61" applyFont="1" applyBorder="1" applyAlignment="1">
      <alignment vertical="center" wrapText="1"/>
      <protection/>
    </xf>
    <xf numFmtId="0" fontId="0" fillId="0" borderId="0" xfId="61" applyFont="1">
      <alignment/>
      <protection/>
    </xf>
    <xf numFmtId="0" fontId="0" fillId="0" borderId="0" xfId="61" applyFont="1" applyAlignment="1">
      <alignment horizontal="right"/>
      <protection/>
    </xf>
    <xf numFmtId="49" fontId="0" fillId="0" borderId="0" xfId="61" applyNumberFormat="1" applyFont="1" applyAlignment="1">
      <alignment horizontal="right"/>
      <protection/>
    </xf>
    <xf numFmtId="0" fontId="19" fillId="0" borderId="11" xfId="61" applyFont="1" applyBorder="1" applyAlignment="1">
      <alignment horizontal="center" vertical="center" wrapText="1"/>
      <protection/>
    </xf>
    <xf numFmtId="0" fontId="0" fillId="0" borderId="10" xfId="61" applyFont="1" applyBorder="1" applyAlignment="1">
      <alignment horizontal="center" vertical="top" wrapText="1"/>
      <protection/>
    </xf>
    <xf numFmtId="0" fontId="20" fillId="0" borderId="12" xfId="61" applyFont="1" applyBorder="1" applyAlignment="1">
      <alignment vertical="center" wrapText="1"/>
      <protection/>
    </xf>
    <xf numFmtId="0" fontId="0" fillId="0" borderId="10" xfId="61" applyFont="1" applyBorder="1" applyAlignment="1">
      <alignment vertical="top" wrapText="1"/>
      <protection/>
    </xf>
    <xf numFmtId="0" fontId="0" fillId="0" borderId="0" xfId="0" applyFont="1" applyAlignment="1">
      <alignment horizontal="right"/>
    </xf>
    <xf numFmtId="49" fontId="0" fillId="0" borderId="0" xfId="0" applyNumberFormat="1" applyFont="1" applyAlignment="1">
      <alignment horizontal="right"/>
    </xf>
    <xf numFmtId="0" fontId="25" fillId="0" borderId="10" xfId="56" applyFont="1" applyFill="1" applyBorder="1" applyAlignment="1">
      <alignment horizontal="left" wrapText="1"/>
      <protection/>
    </xf>
    <xf numFmtId="0" fontId="23" fillId="0" borderId="10" xfId="56" applyFont="1" applyFill="1" applyBorder="1" applyAlignment="1">
      <alignment horizontal="left" wrapText="1"/>
      <protection/>
    </xf>
    <xf numFmtId="205" fontId="0" fillId="0" borderId="0" xfId="61" applyNumberFormat="1" applyFont="1">
      <alignment/>
      <protection/>
    </xf>
    <xf numFmtId="1" fontId="0" fillId="0" borderId="0" xfId="61" applyNumberFormat="1" applyFont="1">
      <alignment/>
      <protection/>
    </xf>
    <xf numFmtId="49" fontId="0" fillId="0" borderId="0" xfId="61" applyNumberFormat="1" applyFont="1" applyBorder="1" applyAlignment="1">
      <alignment horizontal="right"/>
      <protection/>
    </xf>
    <xf numFmtId="0" fontId="0" fillId="0" borderId="10" xfId="0" applyFont="1" applyBorder="1" applyAlignment="1">
      <alignment wrapText="1"/>
    </xf>
    <xf numFmtId="0" fontId="0" fillId="24" borderId="10" xfId="0" applyFill="1" applyBorder="1" applyAlignment="1">
      <alignment vertical="top" wrapText="1"/>
    </xf>
    <xf numFmtId="0" fontId="0" fillId="24" borderId="10" xfId="0" applyFont="1" applyFill="1" applyBorder="1" applyAlignment="1">
      <alignment vertical="top" wrapText="1"/>
    </xf>
    <xf numFmtId="0" fontId="23" fillId="0" borderId="10" xfId="0" applyFont="1" applyBorder="1" applyAlignment="1">
      <alignment wrapText="1"/>
    </xf>
    <xf numFmtId="0" fontId="23" fillId="25" borderId="10" xfId="0" applyFont="1" applyFill="1" applyBorder="1" applyAlignment="1">
      <alignment wrapText="1"/>
    </xf>
    <xf numFmtId="0" fontId="0" fillId="24" borderId="10" xfId="0" applyFont="1" applyFill="1" applyBorder="1" applyAlignment="1">
      <alignment vertical="top" wrapText="1"/>
    </xf>
    <xf numFmtId="0" fontId="30" fillId="0" borderId="10" xfId="0" applyFont="1" applyBorder="1" applyAlignment="1">
      <alignment wrapText="1"/>
    </xf>
    <xf numFmtId="0" fontId="25" fillId="25" borderId="10" xfId="56" applyFont="1" applyFill="1" applyBorder="1" applyAlignment="1">
      <alignment horizontal="left" wrapText="1"/>
      <protection/>
    </xf>
    <xf numFmtId="206" fontId="0" fillId="25" borderId="10" xfId="54" applyNumberFormat="1" applyFont="1" applyFill="1" applyBorder="1" applyAlignment="1" applyProtection="1">
      <alignment horizontal="left" wrapText="1"/>
      <protection hidden="1"/>
    </xf>
    <xf numFmtId="0" fontId="0" fillId="25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justify" wrapText="1"/>
    </xf>
    <xf numFmtId="0" fontId="0" fillId="0" borderId="10" xfId="0" applyFont="1" applyFill="1" applyBorder="1" applyAlignment="1">
      <alignment wrapText="1"/>
    </xf>
    <xf numFmtId="0" fontId="0" fillId="0" borderId="10" xfId="0" applyFill="1" applyBorder="1" applyAlignment="1">
      <alignment vertical="top" wrapText="1"/>
    </xf>
    <xf numFmtId="0" fontId="3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23" fillId="0" borderId="10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4" fontId="0" fillId="0" borderId="0" xfId="0" applyNumberFormat="1" applyFont="1" applyFill="1" applyAlignment="1">
      <alignment horizontal="right"/>
    </xf>
    <xf numFmtId="1" fontId="21" fillId="0" borderId="10" xfId="61" applyNumberFormat="1" applyFont="1" applyBorder="1" applyAlignment="1">
      <alignment horizontal="center" vertical="center" wrapText="1"/>
      <protection/>
    </xf>
    <xf numFmtId="0" fontId="20" fillId="0" borderId="14" xfId="0" applyFont="1" applyFill="1" applyBorder="1" applyAlignment="1">
      <alignment/>
    </xf>
    <xf numFmtId="0" fontId="20" fillId="0" borderId="13" xfId="0" applyFont="1" applyFill="1" applyBorder="1" applyAlignment="1">
      <alignment wrapText="1"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 horizontal="left" wrapText="1" indent="2"/>
    </xf>
    <xf numFmtId="0" fontId="0" fillId="0" borderId="13" xfId="0" applyFont="1" applyFill="1" applyBorder="1" applyAlignment="1">
      <alignment horizontal="left" wrapText="1"/>
    </xf>
    <xf numFmtId="49" fontId="0" fillId="0" borderId="0" xfId="0" applyNumberFormat="1" applyFont="1" applyFill="1" applyAlignment="1">
      <alignment horizontal="right"/>
    </xf>
    <xf numFmtId="0" fontId="0" fillId="0" borderId="15" xfId="0" applyFont="1" applyFill="1" applyBorder="1" applyAlignment="1">
      <alignment horizontal="justify" vertical="top" wrapText="1"/>
    </xf>
    <xf numFmtId="0" fontId="0" fillId="0" borderId="16" xfId="0" applyFont="1" applyFill="1" applyBorder="1" applyAlignment="1">
      <alignment horizontal="left" wrapText="1" indent="2"/>
    </xf>
    <xf numFmtId="0" fontId="0" fillId="24" borderId="10" xfId="0" applyNumberFormat="1" applyFont="1" applyFill="1" applyBorder="1" applyAlignment="1">
      <alignment vertical="top" wrapText="1"/>
    </xf>
    <xf numFmtId="0" fontId="23" fillId="0" borderId="13" xfId="59" applyFont="1" applyFill="1" applyBorder="1" applyAlignment="1">
      <alignment vertical="top" wrapText="1"/>
      <protection/>
    </xf>
    <xf numFmtId="0" fontId="23" fillId="0" borderId="10" xfId="58" applyFont="1" applyFill="1" applyBorder="1" applyAlignment="1">
      <alignment horizontal="center"/>
      <protection/>
    </xf>
    <xf numFmtId="0" fontId="34" fillId="0" borderId="10" xfId="0" applyFont="1" applyBorder="1" applyAlignment="1">
      <alignment wrapText="1"/>
    </xf>
    <xf numFmtId="206" fontId="0" fillId="0" borderId="10" xfId="54" applyNumberFormat="1" applyFont="1" applyFill="1" applyBorder="1" applyAlignment="1" applyProtection="1">
      <alignment horizontal="left" wrapText="1"/>
      <protection hidden="1"/>
    </xf>
    <xf numFmtId="0" fontId="25" fillId="0" borderId="10" xfId="58" applyFont="1" applyFill="1" applyBorder="1" applyAlignment="1">
      <alignment horizontal="left" wrapText="1"/>
      <protection/>
    </xf>
    <xf numFmtId="0" fontId="23" fillId="0" borderId="10" xfId="58" applyFont="1" applyFill="1" applyBorder="1" applyAlignment="1">
      <alignment horizontal="center" wrapText="1"/>
      <protection/>
    </xf>
    <xf numFmtId="4" fontId="25" fillId="0" borderId="10" xfId="58" applyNumberFormat="1" applyFont="1" applyFill="1" applyBorder="1" applyAlignment="1">
      <alignment horizontal="right"/>
      <protection/>
    </xf>
    <xf numFmtId="0" fontId="23" fillId="0" borderId="10" xfId="58" applyFont="1" applyFill="1" applyBorder="1" applyAlignment="1">
      <alignment horizontal="left" wrapText="1"/>
      <protection/>
    </xf>
    <xf numFmtId="0" fontId="24" fillId="0" borderId="10" xfId="58" applyFont="1" applyFill="1" applyBorder="1" applyAlignment="1">
      <alignment horizontal="left" wrapText="1"/>
      <protection/>
    </xf>
    <xf numFmtId="4" fontId="23" fillId="0" borderId="10" xfId="58" applyNumberFormat="1" applyFont="1" applyFill="1" applyBorder="1" applyAlignment="1">
      <alignment horizontal="right"/>
      <protection/>
    </xf>
    <xf numFmtId="0" fontId="0" fillId="0" borderId="0" xfId="61" applyFont="1" applyFill="1">
      <alignment/>
      <protection/>
    </xf>
    <xf numFmtId="0" fontId="23" fillId="0" borderId="17" xfId="58" applyFont="1" applyFill="1" applyBorder="1" applyAlignment="1">
      <alignment horizontal="left" wrapText="1"/>
      <protection/>
    </xf>
    <xf numFmtId="0" fontId="23" fillId="0" borderId="17" xfId="58" applyFont="1" applyFill="1" applyBorder="1" applyAlignment="1">
      <alignment horizontal="center" wrapText="1"/>
      <protection/>
    </xf>
    <xf numFmtId="0" fontId="23" fillId="25" borderId="10" xfId="58" applyFont="1" applyFill="1" applyBorder="1" applyAlignment="1">
      <alignment horizontal="center" wrapText="1"/>
      <protection/>
    </xf>
    <xf numFmtId="0" fontId="25" fillId="0" borderId="10" xfId="58" applyFont="1" applyFill="1" applyBorder="1" applyAlignment="1">
      <alignment horizontal="center"/>
      <protection/>
    </xf>
    <xf numFmtId="0" fontId="23" fillId="25" borderId="17" xfId="58" applyFont="1" applyFill="1" applyBorder="1" applyAlignment="1">
      <alignment horizontal="center" wrapText="1"/>
      <protection/>
    </xf>
    <xf numFmtId="0" fontId="23" fillId="0" borderId="17" xfId="58" applyFont="1" applyFill="1" applyBorder="1" applyAlignment="1">
      <alignment horizontal="center"/>
      <protection/>
    </xf>
    <xf numFmtId="49" fontId="23" fillId="0" borderId="10" xfId="58" applyNumberFormat="1" applyFont="1" applyFill="1" applyBorder="1" applyAlignment="1">
      <alignment horizontal="center" wrapText="1"/>
      <protection/>
    </xf>
    <xf numFmtId="0" fontId="25" fillId="25" borderId="10" xfId="58" applyFont="1" applyFill="1" applyBorder="1" applyAlignment="1">
      <alignment horizontal="left" wrapText="1"/>
      <protection/>
    </xf>
    <xf numFmtId="0" fontId="0" fillId="0" borderId="18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19" xfId="0" applyFont="1" applyFill="1" applyBorder="1" applyAlignment="1">
      <alignment horizontal="justify"/>
    </xf>
    <xf numFmtId="0" fontId="0" fillId="0" borderId="20" xfId="0" applyFont="1" applyFill="1" applyBorder="1" applyAlignment="1">
      <alignment horizontal="justify"/>
    </xf>
    <xf numFmtId="0" fontId="0" fillId="0" borderId="18" xfId="0" applyFont="1" applyFill="1" applyBorder="1" applyAlignment="1">
      <alignment/>
    </xf>
    <xf numFmtId="0" fontId="21" fillId="0" borderId="10" xfId="56" applyFont="1" applyFill="1" applyBorder="1" applyAlignment="1">
      <alignment horizontal="left" wrapText="1"/>
      <protection/>
    </xf>
    <xf numFmtId="0" fontId="0" fillId="0" borderId="10" xfId="58" applyFont="1" applyFill="1" applyBorder="1" applyAlignment="1">
      <alignment horizontal="center" wrapText="1"/>
      <protection/>
    </xf>
    <xf numFmtId="4" fontId="0" fillId="0" borderId="10" xfId="58" applyNumberFormat="1" applyFont="1" applyFill="1" applyBorder="1" applyAlignment="1">
      <alignment horizontal="right"/>
      <protection/>
    </xf>
    <xf numFmtId="0" fontId="0" fillId="0" borderId="10" xfId="58" applyFont="1" applyFill="1" applyBorder="1" applyAlignment="1">
      <alignment horizontal="left" wrapText="1"/>
      <protection/>
    </xf>
    <xf numFmtId="0" fontId="20" fillId="0" borderId="10" xfId="58" applyFont="1" applyFill="1" applyBorder="1" applyAlignment="1">
      <alignment horizontal="left" wrapText="1"/>
      <protection/>
    </xf>
    <xf numFmtId="0" fontId="21" fillId="0" borderId="10" xfId="58" applyFont="1" applyFill="1" applyBorder="1" applyAlignment="1">
      <alignment horizontal="left" wrapText="1"/>
      <protection/>
    </xf>
    <xf numFmtId="0" fontId="21" fillId="0" borderId="10" xfId="58" applyFont="1" applyFill="1" applyBorder="1" applyAlignment="1">
      <alignment horizontal="center"/>
      <protection/>
    </xf>
    <xf numFmtId="4" fontId="21" fillId="0" borderId="10" xfId="58" applyNumberFormat="1" applyFont="1" applyFill="1" applyBorder="1" applyAlignment="1">
      <alignment horizontal="right"/>
      <protection/>
    </xf>
    <xf numFmtId="0" fontId="0" fillId="0" borderId="12" xfId="61" applyFont="1" applyBorder="1" applyAlignment="1">
      <alignment horizontal="center" vertical="top" wrapText="1"/>
      <protection/>
    </xf>
    <xf numFmtId="4" fontId="23" fillId="0" borderId="17" xfId="58" applyNumberFormat="1" applyFont="1" applyFill="1" applyBorder="1" applyAlignment="1">
      <alignment horizontal="right"/>
      <protection/>
    </xf>
    <xf numFmtId="49" fontId="23" fillId="0" borderId="12" xfId="58" applyNumberFormat="1" applyFont="1" applyFill="1" applyBorder="1" applyAlignment="1">
      <alignment horizontal="center" wrapText="1"/>
      <protection/>
    </xf>
    <xf numFmtId="0" fontId="23" fillId="0" borderId="12" xfId="58" applyFont="1" applyFill="1" applyBorder="1" applyAlignment="1">
      <alignment horizontal="center" wrapText="1"/>
      <protection/>
    </xf>
    <xf numFmtId="0" fontId="23" fillId="0" borderId="12" xfId="58" applyFont="1" applyFill="1" applyBorder="1" applyAlignment="1">
      <alignment horizontal="center"/>
      <protection/>
    </xf>
    <xf numFmtId="49" fontId="23" fillId="0" borderId="17" xfId="58" applyNumberFormat="1" applyFont="1" applyFill="1" applyBorder="1" applyAlignment="1">
      <alignment horizontal="center" wrapText="1"/>
      <protection/>
    </xf>
    <xf numFmtId="49" fontId="0" fillId="0" borderId="10" xfId="60" applyNumberFormat="1" applyFont="1" applyBorder="1" applyAlignment="1">
      <alignment horizontal="center" vertical="top" wrapText="1"/>
      <protection/>
    </xf>
    <xf numFmtId="49" fontId="0" fillId="0" borderId="10" xfId="60" applyNumberFormat="1" applyFont="1" applyBorder="1" applyAlignment="1">
      <alignment vertical="top" wrapText="1"/>
      <protection/>
    </xf>
    <xf numFmtId="0" fontId="0" fillId="0" borderId="17" xfId="61" applyFont="1" applyBorder="1" applyAlignment="1">
      <alignment horizontal="center" vertical="top" wrapText="1"/>
      <protection/>
    </xf>
    <xf numFmtId="0" fontId="0" fillId="0" borderId="17" xfId="61" applyFont="1" applyBorder="1" applyAlignment="1">
      <alignment vertical="top" wrapText="1"/>
      <protection/>
    </xf>
    <xf numFmtId="0" fontId="34" fillId="0" borderId="20" xfId="0" applyFont="1" applyFill="1" applyBorder="1" applyAlignment="1">
      <alignment/>
    </xf>
    <xf numFmtId="0" fontId="34" fillId="0" borderId="20" xfId="0" applyFont="1" applyFill="1" applyBorder="1" applyAlignment="1">
      <alignment wrapText="1"/>
    </xf>
    <xf numFmtId="0" fontId="24" fillId="0" borderId="0" xfId="57" applyFont="1" applyFill="1" applyAlignment="1">
      <alignment horizontal="center" vertical="center" wrapText="1"/>
      <protection/>
    </xf>
    <xf numFmtId="0" fontId="23" fillId="0" borderId="0" xfId="57" applyFont="1" applyFill="1" applyAlignment="1">
      <alignment horizontal="center" vertical="top" wrapText="1"/>
      <protection/>
    </xf>
    <xf numFmtId="0" fontId="23" fillId="0" borderId="0" xfId="57" applyFont="1" applyFill="1" applyAlignment="1">
      <alignment vertical="top" wrapText="1"/>
      <protection/>
    </xf>
    <xf numFmtId="0" fontId="23" fillId="0" borderId="0" xfId="57" applyFont="1" applyFill="1" applyAlignment="1">
      <alignment horizontal="center" vertical="center" wrapText="1"/>
      <protection/>
    </xf>
    <xf numFmtId="206" fontId="0" fillId="0" borderId="13" xfId="54" applyNumberFormat="1" applyFont="1" applyFill="1" applyBorder="1" applyAlignment="1" applyProtection="1">
      <alignment horizontal="left" wrapText="1"/>
      <protection hidden="1"/>
    </xf>
    <xf numFmtId="0" fontId="23" fillId="0" borderId="13" xfId="58" applyFont="1" applyFill="1" applyBorder="1" applyAlignment="1">
      <alignment horizontal="center" wrapText="1"/>
      <protection/>
    </xf>
    <xf numFmtId="0" fontId="23" fillId="0" borderId="13" xfId="58" applyFont="1" applyFill="1" applyBorder="1" applyAlignment="1">
      <alignment horizontal="center"/>
      <protection/>
    </xf>
    <xf numFmtId="0" fontId="27" fillId="0" borderId="13" xfId="58" applyFont="1" applyFill="1" applyBorder="1" applyAlignment="1">
      <alignment wrapText="1"/>
      <protection/>
    </xf>
    <xf numFmtId="0" fontId="23" fillId="0" borderId="13" xfId="58" applyFont="1" applyFill="1" applyBorder="1" applyAlignment="1">
      <alignment horizontal="left" wrapText="1"/>
      <protection/>
    </xf>
    <xf numFmtId="0" fontId="0" fillId="0" borderId="13" xfId="58" applyFont="1" applyFill="1" applyBorder="1" applyAlignment="1">
      <alignment wrapText="1"/>
      <protection/>
    </xf>
    <xf numFmtId="0" fontId="0" fillId="0" borderId="10" xfId="58" applyFont="1" applyFill="1" applyBorder="1" applyAlignment="1">
      <alignment horizontal="center"/>
      <protection/>
    </xf>
    <xf numFmtId="0" fontId="0" fillId="0" borderId="17" xfId="58" applyFont="1" applyFill="1" applyBorder="1" applyAlignment="1">
      <alignment horizontal="left" wrapText="1"/>
      <protection/>
    </xf>
    <xf numFmtId="0" fontId="0" fillId="0" borderId="17" xfId="58" applyFont="1" applyFill="1" applyBorder="1" applyAlignment="1">
      <alignment horizontal="center"/>
      <protection/>
    </xf>
    <xf numFmtId="4" fontId="0" fillId="0" borderId="17" xfId="58" applyNumberFormat="1" applyFont="1" applyFill="1" applyBorder="1" applyAlignment="1">
      <alignment horizontal="right"/>
      <protection/>
    </xf>
    <xf numFmtId="49" fontId="0" fillId="0" borderId="12" xfId="58" applyNumberFormat="1" applyFont="1" applyFill="1" applyBorder="1" applyAlignment="1">
      <alignment horizontal="center" wrapText="1"/>
      <protection/>
    </xf>
    <xf numFmtId="0" fontId="0" fillId="0" borderId="12" xfId="58" applyFont="1" applyFill="1" applyBorder="1" applyAlignment="1">
      <alignment horizontal="center" wrapText="1"/>
      <protection/>
    </xf>
    <xf numFmtId="0" fontId="0" fillId="0" borderId="12" xfId="58" applyFont="1" applyFill="1" applyBorder="1" applyAlignment="1">
      <alignment horizontal="center"/>
      <protection/>
    </xf>
    <xf numFmtId="4" fontId="0" fillId="0" borderId="12" xfId="58" applyNumberFormat="1" applyFont="1" applyFill="1" applyBorder="1" applyAlignment="1">
      <alignment horizontal="right"/>
      <protection/>
    </xf>
    <xf numFmtId="49" fontId="0" fillId="0" borderId="10" xfId="58" applyNumberFormat="1" applyFont="1" applyFill="1" applyBorder="1" applyAlignment="1">
      <alignment horizontal="center" wrapText="1"/>
      <protection/>
    </xf>
    <xf numFmtId="49" fontId="0" fillId="0" borderId="17" xfId="58" applyNumberFormat="1" applyFont="1" applyFill="1" applyBorder="1" applyAlignment="1">
      <alignment horizontal="center" wrapText="1"/>
      <protection/>
    </xf>
    <xf numFmtId="0" fontId="0" fillId="0" borderId="17" xfId="58" applyFont="1" applyFill="1" applyBorder="1" applyAlignment="1">
      <alignment horizontal="center" wrapText="1"/>
      <protection/>
    </xf>
    <xf numFmtId="0" fontId="37" fillId="0" borderId="13" xfId="54" applyFont="1" applyBorder="1" applyAlignment="1">
      <alignment vertical="center" wrapText="1"/>
      <protection/>
    </xf>
    <xf numFmtId="4" fontId="23" fillId="0" borderId="0" xfId="57" applyNumberFormat="1" applyFont="1" applyFill="1" applyAlignment="1">
      <alignment vertical="top" wrapText="1"/>
      <protection/>
    </xf>
    <xf numFmtId="49" fontId="24" fillId="0" borderId="0" xfId="57" applyNumberFormat="1" applyFont="1" applyFill="1" applyAlignment="1">
      <alignment horizontal="center" vertical="center" wrapText="1"/>
      <protection/>
    </xf>
    <xf numFmtId="49" fontId="23" fillId="0" borderId="0" xfId="57" applyNumberFormat="1" applyFont="1" applyFill="1" applyAlignment="1">
      <alignment horizontal="center" vertical="top" wrapText="1"/>
      <protection/>
    </xf>
    <xf numFmtId="49" fontId="23" fillId="0" borderId="0" xfId="57" applyNumberFormat="1" applyFont="1" applyFill="1" applyAlignment="1">
      <alignment horizontal="center" vertical="center" wrapText="1"/>
      <protection/>
    </xf>
    <xf numFmtId="0" fontId="23" fillId="0" borderId="0" xfId="57" applyFont="1" applyFill="1" applyAlignment="1">
      <alignment vertical="top"/>
      <protection/>
    </xf>
    <xf numFmtId="0" fontId="0" fillId="0" borderId="16" xfId="0" applyFont="1" applyFill="1" applyBorder="1" applyAlignment="1">
      <alignment horizontal="left" wrapText="1"/>
    </xf>
    <xf numFmtId="0" fontId="23" fillId="0" borderId="20" xfId="56" applyFont="1" applyFill="1" applyBorder="1" applyAlignment="1">
      <alignment horizontal="center" wrapText="1"/>
      <protection/>
    </xf>
    <xf numFmtId="0" fontId="23" fillId="0" borderId="21" xfId="56" applyFont="1" applyFill="1" applyBorder="1" applyAlignment="1">
      <alignment horizontal="center" wrapText="1"/>
      <protection/>
    </xf>
    <xf numFmtId="0" fontId="23" fillId="0" borderId="0" xfId="56" applyFont="1" applyFill="1" applyAlignment="1">
      <alignment vertical="top" wrapText="1"/>
      <protection/>
    </xf>
    <xf numFmtId="4" fontId="23" fillId="0" borderId="0" xfId="56" applyNumberFormat="1" applyFont="1" applyFill="1" applyAlignment="1">
      <alignment vertical="top" wrapText="1"/>
      <protection/>
    </xf>
    <xf numFmtId="4" fontId="0" fillId="0" borderId="17" xfId="56" applyNumberFormat="1" applyFont="1" applyFill="1" applyBorder="1" applyAlignment="1">
      <alignment horizontal="right"/>
      <protection/>
    </xf>
    <xf numFmtId="0" fontId="0" fillId="0" borderId="17" xfId="56" applyFont="1" applyFill="1" applyBorder="1" applyAlignment="1">
      <alignment horizontal="center" wrapText="1"/>
      <protection/>
    </xf>
    <xf numFmtId="0" fontId="0" fillId="0" borderId="17" xfId="56" applyFont="1" applyFill="1" applyBorder="1" applyAlignment="1">
      <alignment horizontal="center"/>
      <protection/>
    </xf>
    <xf numFmtId="0" fontId="0" fillId="0" borderId="17" xfId="56" applyFont="1" applyFill="1" applyBorder="1" applyAlignment="1">
      <alignment horizontal="left" wrapText="1"/>
      <protection/>
    </xf>
    <xf numFmtId="4" fontId="21" fillId="0" borderId="10" xfId="56" applyNumberFormat="1" applyFont="1" applyFill="1" applyBorder="1" applyAlignment="1">
      <alignment horizontal="right"/>
      <protection/>
    </xf>
    <xf numFmtId="0" fontId="0" fillId="0" borderId="10" xfId="56" applyFont="1" applyFill="1" applyBorder="1" applyAlignment="1">
      <alignment horizontal="center" wrapText="1"/>
      <protection/>
    </xf>
    <xf numFmtId="0" fontId="0" fillId="0" borderId="10" xfId="56" applyFont="1" applyFill="1" applyBorder="1" applyAlignment="1">
      <alignment horizontal="center"/>
      <protection/>
    </xf>
    <xf numFmtId="0" fontId="0" fillId="0" borderId="10" xfId="56" applyFont="1" applyFill="1" applyBorder="1" applyAlignment="1">
      <alignment wrapText="1"/>
      <protection/>
    </xf>
    <xf numFmtId="0" fontId="20" fillId="0" borderId="10" xfId="56" applyFont="1" applyFill="1" applyBorder="1" applyAlignment="1">
      <alignment horizontal="left" wrapText="1"/>
      <protection/>
    </xf>
    <xf numFmtId="0" fontId="21" fillId="0" borderId="10" xfId="56" applyFont="1" applyFill="1" applyBorder="1" applyAlignment="1">
      <alignment horizontal="center" wrapText="1"/>
      <protection/>
    </xf>
    <xf numFmtId="0" fontId="21" fillId="0" borderId="10" xfId="56" applyFont="1" applyFill="1" applyBorder="1" applyAlignment="1">
      <alignment wrapText="1"/>
      <protection/>
    </xf>
    <xf numFmtId="4" fontId="33" fillId="0" borderId="12" xfId="56" applyNumberFormat="1" applyFont="1" applyFill="1" applyBorder="1" applyAlignment="1">
      <alignment horizontal="right"/>
      <protection/>
    </xf>
    <xf numFmtId="0" fontId="20" fillId="0" borderId="12" xfId="56" applyFont="1" applyFill="1" applyBorder="1" applyAlignment="1">
      <alignment horizontal="center" wrapText="1"/>
      <protection/>
    </xf>
    <xf numFmtId="49" fontId="20" fillId="0" borderId="12" xfId="56" applyNumberFormat="1" applyFont="1" applyFill="1" applyBorder="1" applyAlignment="1">
      <alignment horizontal="center" wrapText="1"/>
      <protection/>
    </xf>
    <xf numFmtId="0" fontId="20" fillId="0" borderId="12" xfId="56" applyFont="1" applyFill="1" applyBorder="1" applyAlignment="1">
      <alignment wrapText="1"/>
      <protection/>
    </xf>
    <xf numFmtId="0" fontId="0" fillId="0" borderId="17" xfId="56" applyFont="1" applyFill="1" applyBorder="1" applyAlignment="1">
      <alignment wrapText="1"/>
      <protection/>
    </xf>
    <xf numFmtId="4" fontId="0" fillId="0" borderId="10" xfId="56" applyNumberFormat="1" applyFont="1" applyFill="1" applyBorder="1" applyAlignment="1">
      <alignment horizontal="right"/>
      <protection/>
    </xf>
    <xf numFmtId="0" fontId="0" fillId="0" borderId="10" xfId="56" applyFont="1" applyFill="1" applyBorder="1" applyAlignment="1">
      <alignment horizontal="left" wrapText="1"/>
      <protection/>
    </xf>
    <xf numFmtId="0" fontId="21" fillId="0" borderId="10" xfId="56" applyFont="1" applyFill="1" applyBorder="1" applyAlignment="1">
      <alignment horizontal="center"/>
      <protection/>
    </xf>
    <xf numFmtId="0" fontId="37" fillId="0" borderId="10" xfId="54" applyFont="1" applyBorder="1" applyAlignment="1">
      <alignment vertical="center" wrapText="1"/>
      <protection/>
    </xf>
    <xf numFmtId="4" fontId="20" fillId="0" borderId="12" xfId="56" applyNumberFormat="1" applyFont="1" applyFill="1" applyBorder="1" applyAlignment="1">
      <alignment horizontal="right"/>
      <protection/>
    </xf>
    <xf numFmtId="49" fontId="0" fillId="0" borderId="17" xfId="56" applyNumberFormat="1" applyFont="1" applyFill="1" applyBorder="1" applyAlignment="1">
      <alignment horizontal="center" wrapText="1"/>
      <protection/>
    </xf>
    <xf numFmtId="49" fontId="0" fillId="0" borderId="10" xfId="56" applyNumberFormat="1" applyFont="1" applyFill="1" applyBorder="1" applyAlignment="1">
      <alignment horizontal="center" wrapText="1"/>
      <protection/>
    </xf>
    <xf numFmtId="0" fontId="0" fillId="25" borderId="10" xfId="56" applyFont="1" applyFill="1" applyBorder="1" applyAlignment="1">
      <alignment horizontal="left" wrapText="1"/>
      <protection/>
    </xf>
    <xf numFmtId="0" fontId="20" fillId="25" borderId="12" xfId="56" applyFont="1" applyFill="1" applyBorder="1" applyAlignment="1">
      <alignment horizontal="left" wrapText="1"/>
      <protection/>
    </xf>
    <xf numFmtId="0" fontId="0" fillId="24" borderId="10" xfId="63" applyNumberFormat="1" applyFont="1" applyFill="1" applyBorder="1" applyAlignment="1">
      <alignment vertical="top" wrapText="1"/>
      <protection/>
    </xf>
    <xf numFmtId="0" fontId="23" fillId="0" borderId="13" xfId="56" applyFont="1" applyFill="1" applyBorder="1" applyAlignment="1">
      <alignment horizontal="center" wrapText="1"/>
      <protection/>
    </xf>
    <xf numFmtId="0" fontId="23" fillId="0" borderId="13" xfId="56" applyFont="1" applyFill="1" applyBorder="1" applyAlignment="1">
      <alignment horizontal="center"/>
      <protection/>
    </xf>
    <xf numFmtId="0" fontId="23" fillId="25" borderId="13" xfId="56" applyFont="1" applyFill="1" applyBorder="1" applyAlignment="1">
      <alignment horizontal="left" wrapText="1"/>
      <protection/>
    </xf>
    <xf numFmtId="0" fontId="0" fillId="26" borderId="10" xfId="56" applyFont="1" applyFill="1" applyBorder="1" applyAlignment="1">
      <alignment horizontal="left" wrapText="1"/>
      <protection/>
    </xf>
    <xf numFmtId="0" fontId="20" fillId="0" borderId="10" xfId="56" applyFont="1" applyFill="1" applyBorder="1" applyAlignment="1">
      <alignment horizontal="center" wrapText="1"/>
      <protection/>
    </xf>
    <xf numFmtId="49" fontId="21" fillId="0" borderId="10" xfId="56" applyNumberFormat="1" applyFont="1" applyFill="1" applyBorder="1" applyAlignment="1">
      <alignment horizontal="center" wrapText="1"/>
      <protection/>
    </xf>
    <xf numFmtId="4" fontId="0" fillId="0" borderId="22" xfId="56" applyNumberFormat="1" applyFont="1" applyFill="1" applyBorder="1" applyAlignment="1">
      <alignment horizontal="right"/>
      <protection/>
    </xf>
    <xf numFmtId="0" fontId="0" fillId="0" borderId="22" xfId="56" applyFont="1" applyFill="1" applyBorder="1" applyAlignment="1">
      <alignment horizontal="center"/>
      <protection/>
    </xf>
    <xf numFmtId="0" fontId="0" fillId="0" borderId="22" xfId="56" applyFont="1" applyFill="1" applyBorder="1" applyAlignment="1">
      <alignment horizontal="left" wrapText="1"/>
      <protection/>
    </xf>
    <xf numFmtId="0" fontId="20" fillId="25" borderId="10" xfId="56" applyFont="1" applyFill="1" applyBorder="1" applyAlignment="1">
      <alignment horizontal="left" wrapText="1"/>
      <protection/>
    </xf>
    <xf numFmtId="4" fontId="24" fillId="0" borderId="12" xfId="56" applyNumberFormat="1" applyFont="1" applyFill="1" applyBorder="1" applyAlignment="1">
      <alignment horizontal="right"/>
      <protection/>
    </xf>
    <xf numFmtId="0" fontId="24" fillId="0" borderId="12" xfId="56" applyFont="1" applyFill="1" applyBorder="1" applyAlignment="1">
      <alignment horizontal="center" wrapText="1"/>
      <protection/>
    </xf>
    <xf numFmtId="49" fontId="23" fillId="0" borderId="12" xfId="56" applyNumberFormat="1" applyFont="1" applyFill="1" applyBorder="1" applyAlignment="1">
      <alignment horizontal="center" wrapText="1"/>
      <protection/>
    </xf>
    <xf numFmtId="0" fontId="24" fillId="0" borderId="12" xfId="56" applyFont="1" applyFill="1" applyBorder="1" applyAlignment="1">
      <alignment wrapText="1"/>
      <protection/>
    </xf>
    <xf numFmtId="4" fontId="24" fillId="0" borderId="23" xfId="56" applyNumberFormat="1" applyFont="1" applyFill="1" applyBorder="1" applyAlignment="1">
      <alignment horizontal="right"/>
      <protection/>
    </xf>
    <xf numFmtId="0" fontId="23" fillId="0" borderId="23" xfId="56" applyFont="1" applyFill="1" applyBorder="1" applyAlignment="1">
      <alignment horizontal="center" wrapText="1"/>
      <protection/>
    </xf>
    <xf numFmtId="0" fontId="24" fillId="0" borderId="23" xfId="56" applyFont="1" applyFill="1" applyBorder="1" applyAlignment="1">
      <alignment horizontal="left" wrapText="1"/>
      <protection/>
    </xf>
    <xf numFmtId="4" fontId="29" fillId="0" borderId="20" xfId="56" applyNumberFormat="1" applyFont="1" applyFill="1" applyBorder="1" applyAlignment="1">
      <alignment horizontal="center" vertical="center" wrapText="1"/>
      <protection/>
    </xf>
    <xf numFmtId="0" fontId="29" fillId="0" borderId="20" xfId="56" applyFont="1" applyFill="1" applyBorder="1" applyAlignment="1">
      <alignment horizontal="center" vertical="center" wrapText="1"/>
      <protection/>
    </xf>
    <xf numFmtId="0" fontId="29" fillId="0" borderId="24" xfId="56" applyFont="1" applyFill="1" applyBorder="1" applyAlignment="1">
      <alignment horizontal="center" vertical="center" wrapText="1"/>
      <protection/>
    </xf>
    <xf numFmtId="4" fontId="23" fillId="0" borderId="0" xfId="56" applyNumberFormat="1" applyFont="1" applyFill="1" applyAlignment="1">
      <alignment horizontal="right" vertical="center" wrapText="1"/>
      <protection/>
    </xf>
    <xf numFmtId="0" fontId="23" fillId="0" borderId="0" xfId="56" applyFont="1" applyFill="1" applyAlignment="1">
      <alignment horizontal="right" vertical="center" wrapText="1"/>
      <protection/>
    </xf>
    <xf numFmtId="4" fontId="24" fillId="0" borderId="0" xfId="56" applyNumberFormat="1" applyFont="1" applyFill="1" applyAlignment="1">
      <alignment horizontal="centerContinuous" vertical="center" wrapText="1"/>
      <protection/>
    </xf>
    <xf numFmtId="0" fontId="24" fillId="0" borderId="0" xfId="56" applyFont="1" applyFill="1" applyAlignment="1">
      <alignment horizontal="centerContinuous" vertical="center" wrapText="1"/>
      <protection/>
    </xf>
    <xf numFmtId="0" fontId="23" fillId="0" borderId="0" xfId="56" applyFont="1" applyFill="1" applyAlignment="1">
      <alignment horizontal="center" vertical="top" wrapText="1"/>
      <protection/>
    </xf>
    <xf numFmtId="0" fontId="23" fillId="0" borderId="0" xfId="56" applyFont="1" applyFill="1" applyAlignment="1">
      <alignment horizontal="center" vertical="center" wrapText="1"/>
      <protection/>
    </xf>
    <xf numFmtId="0" fontId="24" fillId="0" borderId="0" xfId="56" applyFont="1" applyFill="1" applyAlignment="1">
      <alignment horizontal="center" vertical="center" wrapText="1"/>
      <protection/>
    </xf>
    <xf numFmtId="4" fontId="23" fillId="0" borderId="0" xfId="56" applyNumberFormat="1" applyFont="1" applyFill="1" applyAlignment="1">
      <alignment horizontal="right" vertical="top"/>
      <protection/>
    </xf>
    <xf numFmtId="0" fontId="23" fillId="0" borderId="0" xfId="56" applyFont="1" applyFill="1" applyAlignment="1">
      <alignment wrapText="1"/>
      <protection/>
    </xf>
    <xf numFmtId="4" fontId="23" fillId="0" borderId="17" xfId="56" applyNumberFormat="1" applyFont="1" applyFill="1" applyBorder="1" applyAlignment="1">
      <alignment horizontal="right"/>
      <protection/>
    </xf>
    <xf numFmtId="0" fontId="23" fillId="0" borderId="17" xfId="56" applyFont="1" applyFill="1" applyBorder="1" applyAlignment="1">
      <alignment horizontal="center" wrapText="1"/>
      <protection/>
    </xf>
    <xf numFmtId="0" fontId="23" fillId="0" borderId="17" xfId="56" applyFont="1" applyFill="1" applyBorder="1" applyAlignment="1">
      <alignment horizontal="center"/>
      <protection/>
    </xf>
    <xf numFmtId="0" fontId="23" fillId="0" borderId="17" xfId="56" applyFont="1" applyFill="1" applyBorder="1" applyAlignment="1">
      <alignment horizontal="left" wrapText="1"/>
      <protection/>
    </xf>
    <xf numFmtId="4" fontId="23" fillId="0" borderId="10" xfId="56" applyNumberFormat="1" applyFont="1" applyFill="1" applyBorder="1" applyAlignment="1">
      <alignment horizontal="right"/>
      <protection/>
    </xf>
    <xf numFmtId="0" fontId="23" fillId="0" borderId="10" xfId="56" applyFont="1" applyFill="1" applyBorder="1" applyAlignment="1">
      <alignment horizontal="center" wrapText="1"/>
      <protection/>
    </xf>
    <xf numFmtId="0" fontId="23" fillId="0" borderId="10" xfId="56" applyFont="1" applyFill="1" applyBorder="1" applyAlignment="1">
      <alignment horizontal="center"/>
      <protection/>
    </xf>
    <xf numFmtId="4" fontId="25" fillId="0" borderId="10" xfId="56" applyNumberFormat="1" applyFont="1" applyFill="1" applyBorder="1" applyAlignment="1">
      <alignment horizontal="right"/>
      <protection/>
    </xf>
    <xf numFmtId="0" fontId="23" fillId="0" borderId="10" xfId="56" applyFont="1" applyFill="1" applyBorder="1" applyAlignment="1">
      <alignment wrapText="1"/>
      <protection/>
    </xf>
    <xf numFmtId="0" fontId="25" fillId="0" borderId="10" xfId="56" applyFont="1" applyFill="1" applyBorder="1" applyAlignment="1">
      <alignment horizontal="center"/>
      <protection/>
    </xf>
    <xf numFmtId="4" fontId="25" fillId="0" borderId="12" xfId="56" applyNumberFormat="1" applyFont="1" applyFill="1" applyBorder="1" applyAlignment="1">
      <alignment horizontal="right"/>
      <protection/>
    </xf>
    <xf numFmtId="0" fontId="23" fillId="0" borderId="12" xfId="56" applyFont="1" applyFill="1" applyBorder="1" applyAlignment="1">
      <alignment wrapText="1"/>
      <protection/>
    </xf>
    <xf numFmtId="0" fontId="23" fillId="0" borderId="12" xfId="56" applyFont="1" applyFill="1" applyBorder="1" applyAlignment="1">
      <alignment horizontal="center"/>
      <protection/>
    </xf>
    <xf numFmtId="0" fontId="23" fillId="0" borderId="12" xfId="56" applyFont="1" applyFill="1" applyBorder="1" applyAlignment="1">
      <alignment horizontal="center" wrapText="1"/>
      <protection/>
    </xf>
    <xf numFmtId="0" fontId="24" fillId="0" borderId="12" xfId="56" applyFont="1" applyFill="1" applyBorder="1" applyAlignment="1">
      <alignment horizontal="left" wrapText="1"/>
      <protection/>
    </xf>
    <xf numFmtId="4" fontId="24" fillId="0" borderId="24" xfId="56" applyNumberFormat="1" applyFont="1" applyFill="1" applyBorder="1" applyAlignment="1">
      <alignment horizontal="right"/>
      <protection/>
    </xf>
    <xf numFmtId="0" fontId="23" fillId="0" borderId="24" xfId="56" applyFont="1" applyFill="1" applyBorder="1" applyAlignment="1">
      <alignment wrapText="1"/>
      <protection/>
    </xf>
    <xf numFmtId="49" fontId="24" fillId="0" borderId="24" xfId="56" applyNumberFormat="1" applyFont="1" applyFill="1" applyBorder="1" applyAlignment="1">
      <alignment horizontal="center" wrapText="1"/>
      <protection/>
    </xf>
    <xf numFmtId="0" fontId="24" fillId="0" borderId="24" xfId="56" applyFont="1" applyFill="1" applyBorder="1" applyAlignment="1">
      <alignment horizontal="left" wrapText="1"/>
      <protection/>
    </xf>
    <xf numFmtId="0" fontId="27" fillId="0" borderId="10" xfId="56" applyFont="1" applyFill="1" applyBorder="1" applyAlignment="1">
      <alignment horizontal="center" wrapText="1"/>
      <protection/>
    </xf>
    <xf numFmtId="0" fontId="27" fillId="0" borderId="10" xfId="56" applyFont="1" applyFill="1" applyBorder="1" applyAlignment="1">
      <alignment wrapText="1"/>
      <protection/>
    </xf>
    <xf numFmtId="0" fontId="24" fillId="0" borderId="10" xfId="56" applyFont="1" applyFill="1" applyBorder="1" applyAlignment="1">
      <alignment horizontal="left" wrapText="1"/>
      <protection/>
    </xf>
    <xf numFmtId="0" fontId="28" fillId="0" borderId="10" xfId="56" applyFont="1" applyFill="1" applyBorder="1" applyAlignment="1">
      <alignment horizontal="center" wrapText="1"/>
      <protection/>
    </xf>
    <xf numFmtId="0" fontId="25" fillId="0" borderId="10" xfId="56" applyFont="1" applyFill="1" applyBorder="1" applyAlignment="1">
      <alignment horizontal="center" wrapText="1"/>
      <protection/>
    </xf>
    <xf numFmtId="0" fontId="25" fillId="0" borderId="10" xfId="56" applyFont="1" applyFill="1" applyBorder="1" applyAlignment="1">
      <alignment wrapText="1"/>
      <protection/>
    </xf>
    <xf numFmtId="4" fontId="26" fillId="0" borderId="12" xfId="56" applyNumberFormat="1" applyFont="1" applyFill="1" applyBorder="1" applyAlignment="1">
      <alignment horizontal="right"/>
      <protection/>
    </xf>
    <xf numFmtId="49" fontId="24" fillId="0" borderId="12" xfId="56" applyNumberFormat="1" applyFont="1" applyFill="1" applyBorder="1" applyAlignment="1">
      <alignment horizontal="center" wrapText="1"/>
      <protection/>
    </xf>
    <xf numFmtId="0" fontId="23" fillId="0" borderId="17" xfId="56" applyFont="1" applyFill="1" applyBorder="1" applyAlignment="1">
      <alignment wrapText="1"/>
      <protection/>
    </xf>
    <xf numFmtId="0" fontId="25" fillId="25" borderId="10" xfId="56" applyFont="1" applyFill="1" applyBorder="1" applyAlignment="1">
      <alignment wrapText="1"/>
      <protection/>
    </xf>
    <xf numFmtId="0" fontId="23" fillId="0" borderId="11" xfId="56" applyFont="1" applyFill="1" applyBorder="1" applyAlignment="1">
      <alignment wrapText="1"/>
      <protection/>
    </xf>
    <xf numFmtId="49" fontId="24" fillId="0" borderId="11" xfId="56" applyNumberFormat="1" applyFont="1" applyFill="1" applyBorder="1" applyAlignment="1">
      <alignment horizontal="center" wrapText="1"/>
      <protection/>
    </xf>
    <xf numFmtId="0" fontId="24" fillId="0" borderId="11" xfId="56" applyFont="1" applyFill="1" applyBorder="1" applyAlignment="1">
      <alignment horizontal="left" wrapText="1"/>
      <protection/>
    </xf>
    <xf numFmtId="49" fontId="23" fillId="0" borderId="17" xfId="56" applyNumberFormat="1" applyFont="1" applyFill="1" applyBorder="1" applyAlignment="1">
      <alignment horizontal="center" wrapText="1"/>
      <protection/>
    </xf>
    <xf numFmtId="49" fontId="23" fillId="0" borderId="10" xfId="56" applyNumberFormat="1" applyFont="1" applyFill="1" applyBorder="1" applyAlignment="1">
      <alignment horizontal="center" wrapText="1"/>
      <protection/>
    </xf>
    <xf numFmtId="0" fontId="23" fillId="25" borderId="10" xfId="56" applyFont="1" applyFill="1" applyBorder="1" applyAlignment="1">
      <alignment horizontal="center"/>
      <protection/>
    </xf>
    <xf numFmtId="0" fontId="23" fillId="25" borderId="10" xfId="56" applyFont="1" applyFill="1" applyBorder="1" applyAlignment="1">
      <alignment horizontal="left" wrapText="1"/>
      <protection/>
    </xf>
    <xf numFmtId="0" fontId="24" fillId="25" borderId="12" xfId="56" applyFont="1" applyFill="1" applyBorder="1" applyAlignment="1">
      <alignment horizontal="left" wrapText="1"/>
      <protection/>
    </xf>
    <xf numFmtId="0" fontId="30" fillId="0" borderId="22" xfId="0" applyFont="1" applyBorder="1" applyAlignment="1">
      <alignment wrapText="1"/>
    </xf>
    <xf numFmtId="4" fontId="25" fillId="0" borderId="22" xfId="56" applyNumberFormat="1" applyFont="1" applyFill="1" applyBorder="1" applyAlignment="1">
      <alignment horizontal="right"/>
      <protection/>
    </xf>
    <xf numFmtId="0" fontId="23" fillId="25" borderId="10" xfId="56" applyFont="1" applyFill="1" applyBorder="1" applyAlignment="1">
      <alignment horizontal="center" wrapText="1"/>
      <protection/>
    </xf>
    <xf numFmtId="0" fontId="23" fillId="24" borderId="10" xfId="63" applyNumberFormat="1" applyFont="1" applyFill="1" applyBorder="1" applyAlignment="1">
      <alignment vertical="top" wrapText="1"/>
      <protection/>
    </xf>
    <xf numFmtId="0" fontId="23" fillId="0" borderId="12" xfId="56" applyFont="1" applyFill="1" applyBorder="1" applyAlignment="1">
      <alignment horizontal="left" wrapText="1"/>
      <protection/>
    </xf>
    <xf numFmtId="0" fontId="24" fillId="0" borderId="10" xfId="56" applyFont="1" applyFill="1" applyBorder="1" applyAlignment="1">
      <alignment horizontal="center" wrapText="1"/>
      <protection/>
    </xf>
    <xf numFmtId="49" fontId="25" fillId="0" borderId="10" xfId="56" applyNumberFormat="1" applyFont="1" applyFill="1" applyBorder="1" applyAlignment="1">
      <alignment horizontal="center" wrapText="1"/>
      <protection/>
    </xf>
    <xf numFmtId="0" fontId="24" fillId="0" borderId="25" xfId="56" applyFont="1" applyFill="1" applyBorder="1" applyAlignment="1">
      <alignment horizontal="center" wrapText="1"/>
      <protection/>
    </xf>
    <xf numFmtId="49" fontId="24" fillId="0" borderId="25" xfId="56" applyNumberFormat="1" applyFont="1" applyFill="1" applyBorder="1" applyAlignment="1">
      <alignment horizontal="center" wrapText="1"/>
      <protection/>
    </xf>
    <xf numFmtId="0" fontId="24" fillId="0" borderId="25" xfId="56" applyFont="1" applyFill="1" applyBorder="1" applyAlignment="1">
      <alignment wrapText="1"/>
      <protection/>
    </xf>
    <xf numFmtId="0" fontId="23" fillId="0" borderId="22" xfId="56" applyFont="1" applyFill="1" applyBorder="1" applyAlignment="1">
      <alignment horizontal="left" wrapText="1"/>
      <protection/>
    </xf>
    <xf numFmtId="4" fontId="23" fillId="0" borderId="22" xfId="56" applyNumberFormat="1" applyFont="1" applyFill="1" applyBorder="1" applyAlignment="1">
      <alignment horizontal="right"/>
      <protection/>
    </xf>
    <xf numFmtId="0" fontId="23" fillId="0" borderId="26" xfId="56" applyFont="1" applyFill="1" applyBorder="1" applyAlignment="1">
      <alignment horizontal="center"/>
      <protection/>
    </xf>
    <xf numFmtId="0" fontId="23" fillId="0" borderId="26" xfId="56" applyFont="1" applyFill="1" applyBorder="1" applyAlignment="1">
      <alignment horizontal="center" wrapText="1"/>
      <protection/>
    </xf>
    <xf numFmtId="0" fontId="23" fillId="0" borderId="26" xfId="56" applyFont="1" applyFill="1" applyBorder="1" applyAlignment="1">
      <alignment horizontal="left" wrapText="1"/>
      <protection/>
    </xf>
    <xf numFmtId="0" fontId="24" fillId="25" borderId="10" xfId="56" applyFont="1" applyFill="1" applyBorder="1" applyAlignment="1">
      <alignment horizontal="left" wrapText="1"/>
      <protection/>
    </xf>
    <xf numFmtId="4" fontId="24" fillId="0" borderId="21" xfId="56" applyNumberFormat="1" applyFont="1" applyFill="1" applyBorder="1" applyAlignment="1">
      <alignment horizontal="right"/>
      <protection/>
    </xf>
    <xf numFmtId="0" fontId="24" fillId="0" borderId="21" xfId="56" applyFont="1" applyFill="1" applyBorder="1" applyAlignment="1">
      <alignment horizontal="center" wrapText="1"/>
      <protection/>
    </xf>
    <xf numFmtId="4" fontId="23" fillId="0" borderId="0" xfId="56" applyNumberFormat="1" applyFont="1" applyFill="1" applyAlignment="1">
      <alignment wrapText="1"/>
      <protection/>
    </xf>
    <xf numFmtId="49" fontId="29" fillId="0" borderId="11" xfId="56" applyNumberFormat="1" applyFont="1" applyFill="1" applyBorder="1" applyAlignment="1">
      <alignment horizontal="center" vertical="center" wrapText="1"/>
      <protection/>
    </xf>
    <xf numFmtId="0" fontId="29" fillId="0" borderId="11" xfId="56" applyFont="1" applyFill="1" applyBorder="1" applyAlignment="1">
      <alignment horizontal="center" vertical="center" wrapText="1"/>
      <protection/>
    </xf>
    <xf numFmtId="49" fontId="23" fillId="0" borderId="0" xfId="56" applyNumberFormat="1" applyFont="1" applyFill="1" applyAlignment="1">
      <alignment horizontal="right" vertical="center" wrapText="1"/>
      <protection/>
    </xf>
    <xf numFmtId="49" fontId="24" fillId="0" borderId="0" xfId="56" applyNumberFormat="1" applyFont="1" applyFill="1" applyAlignment="1">
      <alignment horizontal="centerContinuous" vertical="center" wrapText="1"/>
      <protection/>
    </xf>
    <xf numFmtId="49" fontId="23" fillId="0" borderId="0" xfId="56" applyNumberFormat="1" applyFont="1" applyFill="1" applyAlignment="1">
      <alignment horizontal="center" vertical="top" wrapText="1"/>
      <protection/>
    </xf>
    <xf numFmtId="49" fontId="23" fillId="0" borderId="0" xfId="56" applyNumberFormat="1" applyFont="1" applyFill="1" applyAlignment="1">
      <alignment horizontal="center" vertical="center" wrapText="1"/>
      <protection/>
    </xf>
    <xf numFmtId="49" fontId="24" fillId="0" borderId="0" xfId="56" applyNumberFormat="1" applyFont="1" applyFill="1" applyAlignment="1">
      <alignment horizontal="center" vertical="center" wrapText="1"/>
      <protection/>
    </xf>
    <xf numFmtId="49" fontId="18" fillId="0" borderId="0" xfId="0" applyNumberFormat="1" applyFont="1" applyBorder="1" applyAlignment="1">
      <alignment/>
    </xf>
    <xf numFmtId="0" fontId="23" fillId="0" borderId="0" xfId="56" applyFont="1" applyFill="1" applyBorder="1" applyAlignment="1">
      <alignment vertical="top"/>
      <protection/>
    </xf>
    <xf numFmtId="0" fontId="23" fillId="0" borderId="0" xfId="56" applyFont="1" applyFill="1" applyBorder="1" applyAlignment="1">
      <alignment/>
      <protection/>
    </xf>
    <xf numFmtId="4" fontId="23" fillId="0" borderId="0" xfId="56" applyNumberFormat="1" applyFont="1" applyFill="1" applyBorder="1" applyAlignment="1">
      <alignment horizontal="right"/>
      <protection/>
    </xf>
    <xf numFmtId="0" fontId="23" fillId="0" borderId="0" xfId="56" applyFont="1" applyFill="1" applyBorder="1" applyAlignment="1">
      <alignment horizontal="center"/>
      <protection/>
    </xf>
    <xf numFmtId="4" fontId="25" fillId="0" borderId="0" xfId="56" applyNumberFormat="1" applyFont="1" applyFill="1" applyBorder="1" applyAlignment="1">
      <alignment horizontal="right"/>
      <protection/>
    </xf>
    <xf numFmtId="4" fontId="25" fillId="25" borderId="0" xfId="56" applyNumberFormat="1" applyFont="1" applyFill="1" applyBorder="1" applyAlignment="1">
      <alignment horizontal="right"/>
      <protection/>
    </xf>
    <xf numFmtId="0" fontId="25" fillId="0" borderId="0" xfId="56" applyFont="1" applyFill="1" applyBorder="1" applyAlignment="1">
      <alignment horizontal="center"/>
      <protection/>
    </xf>
    <xf numFmtId="0" fontId="24" fillId="0" borderId="12" xfId="56" applyFont="1" applyFill="1" applyBorder="1" applyAlignment="1">
      <alignment horizontal="center"/>
      <protection/>
    </xf>
    <xf numFmtId="0" fontId="31" fillId="0" borderId="12" xfId="56" applyFont="1" applyFill="1" applyBorder="1" applyAlignment="1">
      <alignment horizontal="center" wrapText="1"/>
      <protection/>
    </xf>
    <xf numFmtId="4" fontId="23" fillId="0" borderId="11" xfId="56" applyNumberFormat="1" applyFont="1" applyFill="1" applyBorder="1" applyAlignment="1">
      <alignment horizontal="right"/>
      <protection/>
    </xf>
    <xf numFmtId="0" fontId="23" fillId="0" borderId="11" xfId="56" applyFont="1" applyFill="1" applyBorder="1" applyAlignment="1">
      <alignment horizontal="center" wrapText="1"/>
      <protection/>
    </xf>
    <xf numFmtId="0" fontId="23" fillId="0" borderId="11" xfId="56" applyFont="1" applyFill="1" applyBorder="1" applyAlignment="1">
      <alignment horizontal="left" wrapText="1"/>
      <protection/>
    </xf>
    <xf numFmtId="4" fontId="25" fillId="0" borderId="11" xfId="56" applyNumberFormat="1" applyFont="1" applyFill="1" applyBorder="1" applyAlignment="1">
      <alignment horizontal="right"/>
      <protection/>
    </xf>
    <xf numFmtId="0" fontId="21" fillId="0" borderId="11" xfId="56" applyFont="1" applyFill="1" applyBorder="1" applyAlignment="1">
      <alignment horizontal="left" wrapText="1"/>
      <protection/>
    </xf>
    <xf numFmtId="4" fontId="26" fillId="0" borderId="11" xfId="56" applyNumberFormat="1" applyFont="1" applyFill="1" applyBorder="1" applyAlignment="1">
      <alignment horizontal="right"/>
      <protection/>
    </xf>
    <xf numFmtId="0" fontId="24" fillId="0" borderId="11" xfId="56" applyFont="1" applyFill="1" applyBorder="1" applyAlignment="1">
      <alignment horizontal="center" wrapText="1"/>
      <protection/>
    </xf>
    <xf numFmtId="0" fontId="20" fillId="0" borderId="11" xfId="56" applyFont="1" applyFill="1" applyBorder="1" applyAlignment="1">
      <alignment horizontal="left" wrapText="1"/>
      <protection/>
    </xf>
    <xf numFmtId="0" fontId="23" fillId="25" borderId="17" xfId="56" applyFont="1" applyFill="1" applyBorder="1" applyAlignment="1">
      <alignment horizontal="center" wrapText="1"/>
      <protection/>
    </xf>
    <xf numFmtId="0" fontId="23" fillId="25" borderId="17" xfId="56" applyFont="1" applyFill="1" applyBorder="1" applyAlignment="1">
      <alignment horizontal="left" wrapText="1"/>
      <protection/>
    </xf>
    <xf numFmtId="0" fontId="23" fillId="25" borderId="12" xfId="56" applyFont="1" applyFill="1" applyBorder="1" applyAlignment="1">
      <alignment horizontal="center" wrapText="1"/>
      <protection/>
    </xf>
    <xf numFmtId="4" fontId="23" fillId="25" borderId="0" xfId="56" applyNumberFormat="1" applyFont="1" applyFill="1" applyBorder="1" applyAlignment="1">
      <alignment horizontal="right"/>
      <protection/>
    </xf>
    <xf numFmtId="0" fontId="26" fillId="0" borderId="12" xfId="56" applyFont="1" applyFill="1" applyBorder="1" applyAlignment="1">
      <alignment horizontal="center" wrapText="1"/>
      <protection/>
    </xf>
    <xf numFmtId="0" fontId="26" fillId="0" borderId="12" xfId="56" applyFont="1" applyFill="1" applyBorder="1" applyAlignment="1">
      <alignment horizontal="center"/>
      <protection/>
    </xf>
    <xf numFmtId="0" fontId="26" fillId="0" borderId="12" xfId="56" applyFont="1" applyFill="1" applyBorder="1" applyAlignment="1">
      <alignment horizontal="left" wrapText="1"/>
      <protection/>
    </xf>
    <xf numFmtId="4" fontId="23" fillId="0" borderId="0" xfId="56" applyNumberFormat="1" applyFont="1" applyFill="1" applyBorder="1" applyAlignment="1">
      <alignment vertical="top"/>
      <protection/>
    </xf>
    <xf numFmtId="0" fontId="29" fillId="0" borderId="27" xfId="56" applyFont="1" applyFill="1" applyBorder="1" applyAlignment="1">
      <alignment horizontal="center" vertical="center" wrapText="1"/>
      <protection/>
    </xf>
    <xf numFmtId="0" fontId="23" fillId="0" borderId="0" xfId="56" applyFont="1" applyFill="1" applyAlignment="1">
      <alignment horizontal="right" vertical="center"/>
      <protection/>
    </xf>
    <xf numFmtId="0" fontId="23" fillId="0" borderId="0" xfId="56" applyFont="1" applyFill="1" applyAlignment="1">
      <alignment horizontal="right" vertical="top"/>
      <protection/>
    </xf>
    <xf numFmtId="0" fontId="0" fillId="0" borderId="15" xfId="0" applyNumberFormat="1" applyFont="1" applyFill="1" applyBorder="1" applyAlignment="1">
      <alignment vertical="top" wrapText="1"/>
    </xf>
    <xf numFmtId="49" fontId="19" fillId="0" borderId="28" xfId="0" applyNumberFormat="1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center" vertical="center" wrapText="1"/>
    </xf>
    <xf numFmtId="49" fontId="19" fillId="0" borderId="30" xfId="0" applyNumberFormat="1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horizontal="center" vertical="top" wrapText="1"/>
    </xf>
    <xf numFmtId="49" fontId="19" fillId="0" borderId="31" xfId="0" applyNumberFormat="1" applyFont="1" applyFill="1" applyBorder="1" applyAlignment="1">
      <alignment horizontal="center" vertical="top" wrapText="1"/>
    </xf>
    <xf numFmtId="0" fontId="20" fillId="0" borderId="24" xfId="0" applyFont="1" applyFill="1" applyBorder="1" applyAlignment="1">
      <alignment vertical="top" wrapText="1"/>
    </xf>
    <xf numFmtId="49" fontId="20" fillId="0" borderId="32" xfId="0" applyNumberFormat="1" applyFont="1" applyFill="1" applyBorder="1" applyAlignment="1">
      <alignment vertical="top" wrapText="1"/>
    </xf>
    <xf numFmtId="0" fontId="20" fillId="0" borderId="32" xfId="0" applyFont="1" applyFill="1" applyBorder="1" applyAlignment="1">
      <alignment vertical="top" wrapText="1"/>
    </xf>
    <xf numFmtId="49" fontId="20" fillId="0" borderId="15" xfId="0" applyNumberFormat="1" applyFont="1" applyFill="1" applyBorder="1" applyAlignment="1">
      <alignment vertical="top" wrapText="1"/>
    </xf>
    <xf numFmtId="0" fontId="20" fillId="0" borderId="15" xfId="0" applyFont="1" applyFill="1" applyBorder="1" applyAlignment="1">
      <alignment vertical="top" wrapText="1"/>
    </xf>
    <xf numFmtId="49" fontId="0" fillId="0" borderId="15" xfId="0" applyNumberFormat="1" applyFont="1" applyFill="1" applyBorder="1" applyAlignment="1">
      <alignment vertical="top" wrapText="1"/>
    </xf>
    <xf numFmtId="0" fontId="0" fillId="0" borderId="15" xfId="0" applyFont="1" applyFill="1" applyBorder="1" applyAlignment="1">
      <alignment vertical="top" wrapText="1"/>
    </xf>
    <xf numFmtId="0" fontId="0" fillId="0" borderId="20" xfId="0" applyFont="1" applyFill="1" applyBorder="1" applyAlignment="1">
      <alignment/>
    </xf>
    <xf numFmtId="0" fontId="0" fillId="0" borderId="20" xfId="0" applyFill="1" applyBorder="1" applyAlignment="1">
      <alignment wrapText="1"/>
    </xf>
    <xf numFmtId="0" fontId="0" fillId="0" borderId="20" xfId="0" applyFont="1" applyFill="1" applyBorder="1" applyAlignment="1">
      <alignment wrapText="1"/>
    </xf>
    <xf numFmtId="0" fontId="0" fillId="0" borderId="20" xfId="0" applyFont="1" applyFill="1" applyBorder="1" applyAlignment="1">
      <alignment wrapText="1"/>
    </xf>
    <xf numFmtId="49" fontId="20" fillId="0" borderId="14" xfId="0" applyNumberFormat="1" applyFont="1" applyFill="1" applyBorder="1" applyAlignment="1">
      <alignment vertical="top" wrapText="1"/>
    </xf>
    <xf numFmtId="49" fontId="20" fillId="0" borderId="13" xfId="0" applyNumberFormat="1" applyFont="1" applyFill="1" applyBorder="1" applyAlignment="1">
      <alignment vertical="top" wrapText="1"/>
    </xf>
    <xf numFmtId="49" fontId="20" fillId="0" borderId="20" xfId="0" applyNumberFormat="1" applyFont="1" applyFill="1" applyBorder="1" applyAlignment="1">
      <alignment vertical="top" wrapText="1"/>
    </xf>
    <xf numFmtId="49" fontId="0" fillId="0" borderId="13" xfId="0" applyNumberFormat="1" applyFont="1" applyFill="1" applyBorder="1" applyAlignment="1">
      <alignment vertical="top" wrapText="1"/>
    </xf>
    <xf numFmtId="49" fontId="0" fillId="0" borderId="19" xfId="0" applyNumberFormat="1" applyFont="1" applyFill="1" applyBorder="1" applyAlignment="1">
      <alignment vertical="top" wrapText="1"/>
    </xf>
    <xf numFmtId="49" fontId="0" fillId="0" borderId="13" xfId="0" applyNumberFormat="1" applyFont="1" applyFill="1" applyBorder="1" applyAlignment="1">
      <alignment horizontal="center" vertical="top" wrapText="1"/>
    </xf>
    <xf numFmtId="0" fontId="23" fillId="0" borderId="13" xfId="56" applyFont="1" applyFill="1" applyBorder="1" applyAlignment="1">
      <alignment horizontal="left" wrapText="1"/>
      <protection/>
    </xf>
    <xf numFmtId="0" fontId="24" fillId="0" borderId="13" xfId="56" applyFont="1" applyFill="1" applyBorder="1" applyAlignment="1">
      <alignment horizontal="left" wrapText="1"/>
      <protection/>
    </xf>
    <xf numFmtId="0" fontId="25" fillId="0" borderId="13" xfId="56" applyFont="1" applyFill="1" applyBorder="1" applyAlignment="1">
      <alignment horizontal="left" wrapText="1"/>
      <protection/>
    </xf>
    <xf numFmtId="0" fontId="0" fillId="0" borderId="10" xfId="56" applyFont="1" applyFill="1" applyBorder="1" applyAlignment="1">
      <alignment vertical="top" wrapText="1"/>
      <protection/>
    </xf>
    <xf numFmtId="0" fontId="21" fillId="0" borderId="10" xfId="56" applyFont="1" applyFill="1" applyBorder="1" applyAlignment="1">
      <alignment horizontal="left" vertical="top" wrapText="1"/>
      <protection/>
    </xf>
    <xf numFmtId="0" fontId="23" fillId="0" borderId="10" xfId="63" applyNumberFormat="1" applyFont="1" applyFill="1" applyBorder="1" applyAlignment="1">
      <alignment vertical="top" wrapText="1"/>
      <protection/>
    </xf>
    <xf numFmtId="0" fontId="34" fillId="0" borderId="10" xfId="0" applyFont="1" applyFill="1" applyBorder="1" applyAlignment="1">
      <alignment wrapText="1"/>
    </xf>
    <xf numFmtId="0" fontId="0" fillId="0" borderId="10" xfId="0" applyNumberFormat="1" applyFont="1" applyFill="1" applyBorder="1" applyAlignment="1">
      <alignment vertical="top" wrapText="1"/>
    </xf>
    <xf numFmtId="0" fontId="37" fillId="0" borderId="10" xfId="54" applyFont="1" applyFill="1" applyBorder="1" applyAlignment="1">
      <alignment vertical="center" wrapText="1"/>
      <protection/>
    </xf>
    <xf numFmtId="0" fontId="23" fillId="0" borderId="22" xfId="56" applyFont="1" applyFill="1" applyBorder="1" applyAlignment="1">
      <alignment horizontal="center" wrapText="1"/>
      <protection/>
    </xf>
    <xf numFmtId="0" fontId="23" fillId="0" borderId="22" xfId="56" applyFont="1" applyFill="1" applyBorder="1" applyAlignment="1">
      <alignment horizontal="center"/>
      <protection/>
    </xf>
    <xf numFmtId="0" fontId="24" fillId="0" borderId="20" xfId="56" applyFont="1" applyFill="1" applyBorder="1" applyAlignment="1">
      <alignment horizontal="left" wrapText="1"/>
      <protection/>
    </xf>
    <xf numFmtId="0" fontId="24" fillId="0" borderId="20" xfId="56" applyFont="1" applyFill="1" applyBorder="1" applyAlignment="1">
      <alignment horizontal="center" wrapText="1"/>
      <protection/>
    </xf>
    <xf numFmtId="0" fontId="24" fillId="0" borderId="20" xfId="56" applyFont="1" applyFill="1" applyBorder="1" applyAlignment="1">
      <alignment horizontal="center"/>
      <protection/>
    </xf>
    <xf numFmtId="0" fontId="31" fillId="0" borderId="20" xfId="56" applyFont="1" applyFill="1" applyBorder="1" applyAlignment="1">
      <alignment horizontal="center" wrapText="1"/>
      <protection/>
    </xf>
    <xf numFmtId="0" fontId="23" fillId="0" borderId="24" xfId="56" applyFont="1" applyFill="1" applyBorder="1" applyAlignment="1">
      <alignment horizontal="center" wrapText="1"/>
      <protection/>
    </xf>
    <xf numFmtId="0" fontId="23" fillId="0" borderId="24" xfId="56" applyFont="1" applyFill="1" applyBorder="1" applyAlignment="1">
      <alignment horizontal="center"/>
      <protection/>
    </xf>
    <xf numFmtId="0" fontId="24" fillId="0" borderId="33" xfId="56" applyFont="1" applyFill="1" applyBorder="1" applyAlignment="1">
      <alignment horizontal="left" wrapText="1"/>
      <protection/>
    </xf>
    <xf numFmtId="0" fontId="23" fillId="0" borderId="23" xfId="56" applyFont="1" applyFill="1" applyBorder="1" applyAlignment="1">
      <alignment horizontal="left" wrapText="1"/>
      <protection/>
    </xf>
    <xf numFmtId="0" fontId="23" fillId="0" borderId="23" xfId="56" applyFont="1" applyFill="1" applyBorder="1" applyAlignment="1">
      <alignment horizontal="center"/>
      <protection/>
    </xf>
    <xf numFmtId="0" fontId="23" fillId="25" borderId="22" xfId="58" applyFont="1" applyFill="1" applyBorder="1" applyAlignment="1">
      <alignment horizontal="center" wrapText="1"/>
      <protection/>
    </xf>
    <xf numFmtId="0" fontId="20" fillId="0" borderId="12" xfId="56" applyFont="1" applyFill="1" applyBorder="1" applyAlignment="1">
      <alignment horizontal="left" wrapText="1"/>
      <protection/>
    </xf>
    <xf numFmtId="0" fontId="23" fillId="0" borderId="20" xfId="56" applyFont="1" applyFill="1" applyBorder="1" applyAlignment="1">
      <alignment vertical="top" wrapText="1"/>
      <protection/>
    </xf>
    <xf numFmtId="0" fontId="0" fillId="0" borderId="34" xfId="0" applyNumberFormat="1" applyFont="1" applyFill="1" applyBorder="1" applyAlignment="1">
      <alignment vertical="top" wrapText="1"/>
    </xf>
    <xf numFmtId="49" fontId="20" fillId="0" borderId="35" xfId="0" applyNumberFormat="1" applyFont="1" applyFill="1" applyBorder="1" applyAlignment="1">
      <alignment vertical="top" wrapText="1"/>
    </xf>
    <xf numFmtId="0" fontId="20" fillId="0" borderId="35" xfId="0" applyFont="1" applyFill="1" applyBorder="1" applyAlignment="1">
      <alignment vertical="top" wrapText="1"/>
    </xf>
    <xf numFmtId="0" fontId="0" fillId="0" borderId="20" xfId="42" applyFont="1" applyFill="1" applyBorder="1" applyAlignment="1" applyProtection="1">
      <alignment wrapText="1"/>
      <protection/>
    </xf>
    <xf numFmtId="0" fontId="0" fillId="0" borderId="0" xfId="42" applyFont="1" applyFill="1" applyAlignment="1" applyProtection="1">
      <alignment wrapText="1"/>
      <protection/>
    </xf>
    <xf numFmtId="0" fontId="0" fillId="0" borderId="0" xfId="0" applyFill="1" applyAlignment="1">
      <alignment wrapText="1"/>
    </xf>
    <xf numFmtId="0" fontId="47" fillId="0" borderId="20" xfId="0" applyFont="1" applyFill="1" applyBorder="1" applyAlignment="1">
      <alignment wrapText="1"/>
    </xf>
    <xf numFmtId="0" fontId="0" fillId="0" borderId="10" xfId="0" applyFont="1" applyFill="1" applyBorder="1" applyAlignment="1">
      <alignment vertical="top" wrapText="1"/>
    </xf>
    <xf numFmtId="0" fontId="35" fillId="0" borderId="10" xfId="0" applyFont="1" applyFill="1" applyBorder="1" applyAlignment="1">
      <alignment wrapText="1"/>
    </xf>
    <xf numFmtId="0" fontId="0" fillId="0" borderId="10" xfId="63" applyNumberFormat="1" applyFont="1" applyFill="1" applyBorder="1" applyAlignment="1">
      <alignment vertical="top" wrapText="1"/>
      <protection/>
    </xf>
    <xf numFmtId="0" fontId="0" fillId="0" borderId="10" xfId="0" applyNumberFormat="1" applyFont="1" applyFill="1" applyBorder="1" applyAlignment="1">
      <alignment vertical="top" wrapText="1"/>
    </xf>
    <xf numFmtId="0" fontId="37" fillId="0" borderId="13" xfId="54" applyFont="1" applyFill="1" applyBorder="1" applyAlignment="1">
      <alignment vertical="center" wrapText="1"/>
      <protection/>
    </xf>
    <xf numFmtId="49" fontId="0" fillId="0" borderId="12" xfId="56" applyNumberFormat="1" applyFont="1" applyFill="1" applyBorder="1" applyAlignment="1">
      <alignment horizontal="center" wrapText="1"/>
      <protection/>
    </xf>
    <xf numFmtId="0" fontId="0" fillId="0" borderId="12" xfId="56" applyFont="1" applyFill="1" applyBorder="1" applyAlignment="1">
      <alignment horizontal="center"/>
      <protection/>
    </xf>
    <xf numFmtId="0" fontId="0" fillId="0" borderId="12" xfId="56" applyFont="1" applyFill="1" applyBorder="1" applyAlignment="1">
      <alignment wrapText="1"/>
      <protection/>
    </xf>
    <xf numFmtId="49" fontId="18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49" fontId="0" fillId="0" borderId="16" xfId="0" applyNumberFormat="1" applyFont="1" applyFill="1" applyBorder="1" applyAlignment="1">
      <alignment horizontal="center" vertical="top" wrapText="1"/>
    </xf>
    <xf numFmtId="180" fontId="0" fillId="0" borderId="0" xfId="0" applyNumberFormat="1" applyFont="1" applyFill="1" applyAlignment="1">
      <alignment/>
    </xf>
    <xf numFmtId="0" fontId="47" fillId="0" borderId="0" xfId="0" applyFont="1" applyFill="1" applyAlignment="1">
      <alignment vertical="top" wrapText="1"/>
    </xf>
    <xf numFmtId="0" fontId="48" fillId="0" borderId="0" xfId="0" applyFont="1" applyFill="1" applyAlignment="1">
      <alignment wrapText="1"/>
    </xf>
    <xf numFmtId="0" fontId="0" fillId="0" borderId="35" xfId="0" applyNumberFormat="1" applyFont="1" applyFill="1" applyBorder="1" applyAlignment="1">
      <alignment vertical="top" wrapText="1"/>
    </xf>
    <xf numFmtId="0" fontId="0" fillId="0" borderId="20" xfId="0" applyNumberFormat="1" applyFont="1" applyFill="1" applyBorder="1" applyAlignment="1">
      <alignment vertical="top" wrapText="1"/>
    </xf>
    <xf numFmtId="0" fontId="0" fillId="0" borderId="34" xfId="0" applyFont="1" applyFill="1" applyBorder="1" applyAlignment="1">
      <alignment vertical="top" wrapText="1"/>
    </xf>
    <xf numFmtId="49" fontId="0" fillId="0" borderId="34" xfId="0" applyNumberFormat="1" applyFont="1" applyFill="1" applyBorder="1" applyAlignment="1">
      <alignment vertical="top" wrapText="1"/>
    </xf>
    <xf numFmtId="0" fontId="36" fillId="0" borderId="36" xfId="0" applyFont="1" applyFill="1" applyBorder="1" applyAlignment="1">
      <alignment wrapText="1"/>
    </xf>
    <xf numFmtId="49" fontId="0" fillId="0" borderId="35" xfId="0" applyNumberFormat="1" applyFont="1" applyFill="1" applyBorder="1" applyAlignment="1">
      <alignment vertical="top" wrapText="1"/>
    </xf>
    <xf numFmtId="0" fontId="0" fillId="0" borderId="36" xfId="0" applyFont="1" applyFill="1" applyBorder="1" applyAlignment="1">
      <alignment wrapText="1"/>
    </xf>
    <xf numFmtId="0" fontId="34" fillId="0" borderId="0" xfId="0" applyFont="1" applyFill="1" applyAlignment="1">
      <alignment vertical="top" wrapText="1"/>
    </xf>
    <xf numFmtId="49" fontId="0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center" wrapText="1"/>
    </xf>
    <xf numFmtId="0" fontId="34" fillId="0" borderId="0" xfId="0" applyFont="1" applyFill="1" applyAlignment="1">
      <alignment/>
    </xf>
    <xf numFmtId="49" fontId="0" fillId="0" borderId="19" xfId="0" applyNumberFormat="1" applyFont="1" applyFill="1" applyBorder="1" applyAlignment="1">
      <alignment horizontal="center" vertical="top" wrapText="1"/>
    </xf>
    <xf numFmtId="0" fontId="20" fillId="0" borderId="20" xfId="0" applyFont="1" applyFill="1" applyBorder="1" applyAlignment="1">
      <alignment/>
    </xf>
    <xf numFmtId="49" fontId="0" fillId="0" borderId="16" xfId="0" applyNumberFormat="1" applyFont="1" applyFill="1" applyBorder="1" applyAlignment="1">
      <alignment vertical="top" wrapText="1"/>
    </xf>
    <xf numFmtId="49" fontId="0" fillId="0" borderId="13" xfId="0" applyNumberFormat="1" applyFont="1" applyFill="1" applyBorder="1" applyAlignment="1">
      <alignment horizontal="left" vertical="top" wrapText="1"/>
    </xf>
    <xf numFmtId="0" fontId="20" fillId="0" borderId="19" xfId="0" applyFont="1" applyFill="1" applyBorder="1" applyAlignment="1">
      <alignment/>
    </xf>
    <xf numFmtId="0" fontId="20" fillId="0" borderId="37" xfId="0" applyFont="1" applyFill="1" applyBorder="1" applyAlignment="1">
      <alignment wrapText="1"/>
    </xf>
    <xf numFmtId="0" fontId="23" fillId="0" borderId="21" xfId="56" applyFont="1" applyFill="1" applyBorder="1" applyAlignment="1">
      <alignment horizontal="center"/>
      <protection/>
    </xf>
    <xf numFmtId="4" fontId="23" fillId="0" borderId="21" xfId="56" applyNumberFormat="1" applyFont="1" applyFill="1" applyBorder="1" applyAlignment="1">
      <alignment horizontal="right"/>
      <protection/>
    </xf>
    <xf numFmtId="0" fontId="25" fillId="0" borderId="10" xfId="56" applyFont="1" applyFill="1" applyBorder="1" applyAlignment="1">
      <alignment horizontal="left" vertical="top" wrapText="1"/>
      <protection/>
    </xf>
    <xf numFmtId="49" fontId="0" fillId="0" borderId="0" xfId="61" applyNumberFormat="1" applyFont="1" applyFill="1" applyBorder="1" applyAlignment="1">
      <alignment horizontal="right"/>
      <protection/>
    </xf>
    <xf numFmtId="0" fontId="0" fillId="0" borderId="0" xfId="61" applyFont="1" applyFill="1" applyAlignment="1">
      <alignment horizontal="right"/>
      <protection/>
    </xf>
    <xf numFmtId="49" fontId="0" fillId="0" borderId="0" xfId="61" applyNumberFormat="1" applyFont="1" applyFill="1" applyAlignment="1">
      <alignment horizontal="right"/>
      <protection/>
    </xf>
    <xf numFmtId="0" fontId="19" fillId="0" borderId="11" xfId="61" applyFont="1" applyFill="1" applyBorder="1" applyAlignment="1">
      <alignment horizontal="center" vertical="center" wrapText="1"/>
      <protection/>
    </xf>
    <xf numFmtId="0" fontId="0" fillId="0" borderId="12" xfId="61" applyFont="1" applyFill="1" applyBorder="1" applyAlignment="1">
      <alignment horizontal="center" vertical="top" wrapText="1"/>
      <protection/>
    </xf>
    <xf numFmtId="0" fontId="20" fillId="0" borderId="12" xfId="61" applyFont="1" applyFill="1" applyBorder="1" applyAlignment="1">
      <alignment vertical="center" wrapText="1"/>
      <protection/>
    </xf>
    <xf numFmtId="2" fontId="21" fillId="0" borderId="12" xfId="61" applyNumberFormat="1" applyFont="1" applyFill="1" applyBorder="1" applyAlignment="1">
      <alignment horizontal="center" vertical="center" wrapText="1"/>
      <protection/>
    </xf>
    <xf numFmtId="205" fontId="0" fillId="0" borderId="0" xfId="61" applyNumberFormat="1" applyFont="1" applyFill="1">
      <alignment/>
      <protection/>
    </xf>
    <xf numFmtId="0" fontId="0" fillId="0" borderId="10" xfId="61" applyFont="1" applyFill="1" applyBorder="1" applyAlignment="1">
      <alignment horizontal="center" vertical="top" wrapText="1"/>
      <protection/>
    </xf>
    <xf numFmtId="0" fontId="0" fillId="0" borderId="10" xfId="61" applyFont="1" applyFill="1" applyBorder="1" applyAlignment="1">
      <alignment vertical="center" wrapText="1"/>
      <protection/>
    </xf>
    <xf numFmtId="2" fontId="21" fillId="0" borderId="10" xfId="61" applyNumberFormat="1" applyFont="1" applyFill="1" applyBorder="1" applyAlignment="1">
      <alignment horizontal="center" vertical="center" wrapText="1"/>
      <protection/>
    </xf>
    <xf numFmtId="49" fontId="0" fillId="0" borderId="10" xfId="60" applyNumberFormat="1" applyFont="1" applyFill="1" applyBorder="1" applyAlignment="1">
      <alignment horizontal="center" vertical="top" wrapText="1"/>
      <protection/>
    </xf>
    <xf numFmtId="49" fontId="0" fillId="0" borderId="10" xfId="60" applyNumberFormat="1" applyFont="1" applyFill="1" applyBorder="1" applyAlignment="1">
      <alignment vertical="top" wrapText="1"/>
      <protection/>
    </xf>
    <xf numFmtId="2" fontId="0" fillId="0" borderId="10" xfId="61" applyNumberFormat="1" applyFont="1" applyFill="1" applyBorder="1" applyAlignment="1">
      <alignment horizontal="center" vertical="center" wrapText="1"/>
      <protection/>
    </xf>
    <xf numFmtId="0" fontId="0" fillId="0" borderId="10" xfId="61" applyFont="1" applyFill="1" applyBorder="1" applyAlignment="1">
      <alignment vertical="top" wrapText="1"/>
      <protection/>
    </xf>
    <xf numFmtId="2" fontId="21" fillId="0" borderId="10" xfId="61" applyNumberFormat="1" applyFont="1" applyFill="1" applyBorder="1" applyAlignment="1">
      <alignment horizontal="center" vertical="top" wrapText="1"/>
      <protection/>
    </xf>
    <xf numFmtId="0" fontId="0" fillId="0" borderId="17" xfId="61" applyFont="1" applyFill="1" applyBorder="1" applyAlignment="1">
      <alignment horizontal="center" vertical="top" wrapText="1"/>
      <protection/>
    </xf>
    <xf numFmtId="0" fontId="0" fillId="0" borderId="17" xfId="61" applyFont="1" applyFill="1" applyBorder="1" applyAlignment="1">
      <alignment vertical="top" wrapText="1"/>
      <protection/>
    </xf>
    <xf numFmtId="2" fontId="0" fillId="0" borderId="17" xfId="61" applyNumberFormat="1" applyFont="1" applyFill="1" applyBorder="1" applyAlignment="1">
      <alignment horizontal="center" vertical="top" wrapText="1"/>
      <protection/>
    </xf>
    <xf numFmtId="1" fontId="0" fillId="0" borderId="0" xfId="61" applyNumberFormat="1" applyFont="1" applyFill="1">
      <alignment/>
      <protection/>
    </xf>
    <xf numFmtId="0" fontId="23" fillId="0" borderId="13" xfId="63" applyNumberFormat="1" applyFont="1" applyFill="1" applyBorder="1" applyAlignment="1">
      <alignment vertical="top" wrapText="1"/>
      <protection/>
    </xf>
    <xf numFmtId="0" fontId="0" fillId="0" borderId="10" xfId="56" applyFont="1" applyFill="1" applyBorder="1" applyAlignment="1">
      <alignment horizontal="left" vertical="top" wrapText="1"/>
      <protection/>
    </xf>
    <xf numFmtId="0" fontId="23" fillId="0" borderId="25" xfId="56" applyFont="1" applyFill="1" applyBorder="1" applyAlignment="1">
      <alignment horizontal="center" wrapText="1"/>
      <protection/>
    </xf>
    <xf numFmtId="4" fontId="23" fillId="0" borderId="25" xfId="56" applyNumberFormat="1" applyFont="1" applyFill="1" applyBorder="1" applyAlignment="1">
      <alignment horizontal="right"/>
      <protection/>
    </xf>
    <xf numFmtId="0" fontId="21" fillId="0" borderId="10" xfId="0" applyFont="1" applyFill="1" applyBorder="1" applyAlignment="1">
      <alignment vertical="top" wrapText="1"/>
    </xf>
    <xf numFmtId="0" fontId="0" fillId="0" borderId="22" xfId="56" applyFont="1" applyFill="1" applyBorder="1" applyAlignment="1">
      <alignment horizontal="center" wrapText="1"/>
      <protection/>
    </xf>
    <xf numFmtId="0" fontId="49" fillId="0" borderId="10" xfId="56" applyFont="1" applyFill="1" applyBorder="1" applyAlignment="1">
      <alignment horizontal="center" wrapText="1"/>
      <protection/>
    </xf>
    <xf numFmtId="0" fontId="0" fillId="0" borderId="21" xfId="56" applyFont="1" applyFill="1" applyBorder="1" applyAlignment="1">
      <alignment horizontal="left" wrapText="1"/>
      <protection/>
    </xf>
    <xf numFmtId="1" fontId="0" fillId="0" borderId="10" xfId="61" applyNumberFormat="1" applyFont="1" applyFill="1" applyBorder="1" applyAlignment="1">
      <alignment horizontal="center" vertical="center" wrapText="1"/>
      <protection/>
    </xf>
    <xf numFmtId="1" fontId="21" fillId="0" borderId="10" xfId="61" applyNumberFormat="1" applyFont="1" applyFill="1" applyBorder="1" applyAlignment="1">
      <alignment horizontal="center" vertical="center" wrapText="1"/>
      <protection/>
    </xf>
    <xf numFmtId="0" fontId="0" fillId="0" borderId="10" xfId="61" applyNumberFormat="1" applyFont="1" applyFill="1" applyBorder="1" applyAlignment="1">
      <alignment horizontal="center" vertical="center" wrapText="1"/>
      <protection/>
    </xf>
    <xf numFmtId="1" fontId="21" fillId="0" borderId="10" xfId="61" applyNumberFormat="1" applyFont="1" applyFill="1" applyBorder="1" applyAlignment="1">
      <alignment horizontal="center" vertical="top" wrapText="1"/>
      <protection/>
    </xf>
    <xf numFmtId="1" fontId="0" fillId="0" borderId="10" xfId="61" applyNumberFormat="1" applyFont="1" applyFill="1" applyBorder="1" applyAlignment="1">
      <alignment horizontal="center" vertical="top" wrapText="1"/>
      <protection/>
    </xf>
    <xf numFmtId="1" fontId="0" fillId="0" borderId="17" xfId="61" applyNumberFormat="1" applyFont="1" applyFill="1" applyBorder="1" applyAlignment="1">
      <alignment horizontal="center" vertical="top" wrapText="1"/>
      <protection/>
    </xf>
    <xf numFmtId="0" fontId="0" fillId="27" borderId="10" xfId="58" applyFont="1" applyFill="1" applyBorder="1" applyAlignment="1">
      <alignment horizontal="center" wrapText="1"/>
      <protection/>
    </xf>
    <xf numFmtId="0" fontId="0" fillId="27" borderId="10" xfId="58" applyFont="1" applyFill="1" applyBorder="1" applyAlignment="1">
      <alignment horizontal="center"/>
      <protection/>
    </xf>
    <xf numFmtId="0" fontId="50" fillId="0" borderId="10" xfId="56" applyFont="1" applyFill="1" applyBorder="1" applyAlignment="1">
      <alignment horizontal="left" wrapText="1"/>
      <protection/>
    </xf>
    <xf numFmtId="0" fontId="50" fillId="0" borderId="10" xfId="56" applyFont="1" applyFill="1" applyBorder="1" applyAlignment="1">
      <alignment horizontal="center" wrapText="1"/>
      <protection/>
    </xf>
    <xf numFmtId="0" fontId="50" fillId="0" borderId="10" xfId="56" applyFont="1" applyFill="1" applyBorder="1" applyAlignment="1">
      <alignment horizontal="center"/>
      <protection/>
    </xf>
    <xf numFmtId="4" fontId="50" fillId="0" borderId="10" xfId="56" applyNumberFormat="1" applyFont="1" applyFill="1" applyBorder="1" applyAlignment="1">
      <alignment horizontal="right"/>
      <protection/>
    </xf>
    <xf numFmtId="0" fontId="23" fillId="25" borderId="21" xfId="58" applyFont="1" applyFill="1" applyBorder="1" applyAlignment="1">
      <alignment horizontal="center" wrapText="1"/>
      <protection/>
    </xf>
    <xf numFmtId="49" fontId="0" fillId="0" borderId="0" xfId="56" applyNumberFormat="1" applyFont="1" applyFill="1" applyBorder="1" applyAlignment="1">
      <alignment horizontal="left" wrapText="1"/>
      <protection/>
    </xf>
    <xf numFmtId="0" fontId="51" fillId="0" borderId="20" xfId="0" applyFont="1" applyBorder="1" applyAlignment="1">
      <alignment wrapText="1"/>
    </xf>
    <xf numFmtId="49" fontId="0" fillId="0" borderId="18" xfId="0" applyNumberFormat="1" applyFont="1" applyFill="1" applyBorder="1" applyAlignment="1">
      <alignment horizontal="center" vertical="top" wrapText="1"/>
    </xf>
    <xf numFmtId="0" fontId="20" fillId="0" borderId="0" xfId="0" applyFont="1" applyFill="1" applyAlignment="1">
      <alignment wrapText="1"/>
    </xf>
    <xf numFmtId="0" fontId="0" fillId="0" borderId="0" xfId="0" applyFont="1" applyFill="1" applyAlignment="1">
      <alignment horizontal="center" vertical="top"/>
    </xf>
    <xf numFmtId="0" fontId="29" fillId="0" borderId="38" xfId="56" applyFont="1" applyFill="1" applyBorder="1" applyAlignment="1">
      <alignment horizontal="center" vertical="center" wrapText="1"/>
      <protection/>
    </xf>
    <xf numFmtId="0" fontId="29" fillId="0" borderId="39" xfId="56" applyFont="1" applyFill="1" applyBorder="1" applyAlignment="1">
      <alignment horizontal="center" vertical="center" wrapText="1"/>
      <protection/>
    </xf>
    <xf numFmtId="4" fontId="23" fillId="0" borderId="23" xfId="56" applyNumberFormat="1" applyFont="1" applyFill="1" applyBorder="1" applyAlignment="1">
      <alignment horizontal="right"/>
      <protection/>
    </xf>
    <xf numFmtId="0" fontId="24" fillId="0" borderId="12" xfId="56" applyFont="1" applyFill="1" applyBorder="1" applyAlignment="1">
      <alignment horizontal="left" vertical="top" wrapText="1"/>
      <protection/>
    </xf>
    <xf numFmtId="0" fontId="24" fillId="0" borderId="12" xfId="56" applyFont="1" applyFill="1" applyBorder="1" applyAlignment="1">
      <alignment horizontal="center" vertical="top" wrapText="1"/>
      <protection/>
    </xf>
    <xf numFmtId="4" fontId="24" fillId="0" borderId="12" xfId="56" applyNumberFormat="1" applyFont="1" applyFill="1" applyBorder="1" applyAlignment="1">
      <alignment horizontal="right" vertical="top"/>
      <protection/>
    </xf>
    <xf numFmtId="0" fontId="23" fillId="0" borderId="10" xfId="56" applyFont="1" applyFill="1" applyBorder="1" applyAlignment="1">
      <alignment vertical="top" wrapText="1"/>
      <protection/>
    </xf>
    <xf numFmtId="0" fontId="23" fillId="0" borderId="10" xfId="56" applyFont="1" applyFill="1" applyBorder="1" applyAlignment="1">
      <alignment horizontal="center" vertical="top" wrapText="1"/>
      <protection/>
    </xf>
    <xf numFmtId="0" fontId="27" fillId="0" borderId="10" xfId="56" applyFont="1" applyFill="1" applyBorder="1" applyAlignment="1">
      <alignment horizontal="center" vertical="top" wrapText="1"/>
      <protection/>
    </xf>
    <xf numFmtId="4" fontId="25" fillId="0" borderId="10" xfId="56" applyNumberFormat="1" applyFont="1" applyFill="1" applyBorder="1" applyAlignment="1">
      <alignment horizontal="right" vertical="top"/>
      <protection/>
    </xf>
    <xf numFmtId="4" fontId="23" fillId="0" borderId="0" xfId="56" applyNumberFormat="1" applyFont="1" applyFill="1" applyAlignment="1">
      <alignment horizontal="right" vertical="center"/>
      <protection/>
    </xf>
    <xf numFmtId="4" fontId="29" fillId="0" borderId="11" xfId="56" applyNumberFormat="1" applyFont="1" applyFill="1" applyBorder="1" applyAlignment="1">
      <alignment horizontal="center" vertical="center"/>
      <protection/>
    </xf>
    <xf numFmtId="4" fontId="23" fillId="0" borderId="26" xfId="56" applyNumberFormat="1" applyFont="1" applyFill="1" applyBorder="1" applyAlignment="1">
      <alignment horizontal="right"/>
      <protection/>
    </xf>
    <xf numFmtId="4" fontId="24" fillId="0" borderId="25" xfId="56" applyNumberFormat="1" applyFont="1" applyFill="1" applyBorder="1" applyAlignment="1">
      <alignment horizontal="right"/>
      <protection/>
    </xf>
    <xf numFmtId="4" fontId="23" fillId="0" borderId="10" xfId="56" applyNumberFormat="1" applyFont="1" applyFill="1" applyBorder="1" applyAlignment="1">
      <alignment vertical="top" wrapText="1"/>
      <protection/>
    </xf>
    <xf numFmtId="4" fontId="23" fillId="0" borderId="12" xfId="58" applyNumberFormat="1" applyFont="1" applyFill="1" applyBorder="1" applyAlignment="1">
      <alignment horizontal="right"/>
      <protection/>
    </xf>
    <xf numFmtId="4" fontId="24" fillId="0" borderId="11" xfId="56" applyNumberFormat="1" applyFont="1" applyFill="1" applyBorder="1" applyAlignment="1">
      <alignment horizontal="right"/>
      <protection/>
    </xf>
    <xf numFmtId="0" fontId="25" fillId="0" borderId="10" xfId="58" applyFont="1" applyFill="1" applyBorder="1" applyAlignment="1">
      <alignment horizontal="center" wrapText="1"/>
      <protection/>
    </xf>
    <xf numFmtId="0" fontId="23" fillId="0" borderId="11" xfId="56" applyFont="1" applyFill="1" applyBorder="1" applyAlignment="1">
      <alignment horizontal="center"/>
      <protection/>
    </xf>
    <xf numFmtId="49" fontId="38" fillId="0" borderId="10" xfId="56" applyNumberFormat="1" applyFont="1" applyFill="1" applyBorder="1" applyAlignment="1">
      <alignment horizontal="left" wrapText="1"/>
      <protection/>
    </xf>
    <xf numFmtId="49" fontId="39" fillId="0" borderId="11" xfId="62" applyNumberFormat="1" applyFont="1" applyFill="1" applyBorder="1" applyAlignment="1">
      <alignment vertical="top" wrapText="1"/>
      <protection/>
    </xf>
    <xf numFmtId="49" fontId="0" fillId="0" borderId="10" xfId="58" applyNumberFormat="1" applyFont="1" applyFill="1" applyBorder="1" applyAlignment="1">
      <alignment horizontal="left" wrapText="1"/>
      <protection/>
    </xf>
    <xf numFmtId="0" fontId="18" fillId="0" borderId="0" xfId="0" applyFont="1" applyAlignment="1">
      <alignment horizontal="right"/>
    </xf>
    <xf numFmtId="49" fontId="18" fillId="0" borderId="0" xfId="0" applyNumberFormat="1" applyFont="1" applyFill="1" applyAlignment="1">
      <alignment horizontal="right"/>
    </xf>
    <xf numFmtId="0" fontId="20" fillId="0" borderId="0" xfId="0" applyFont="1" applyAlignment="1">
      <alignment horizontal="centerContinuous" wrapText="1"/>
    </xf>
    <xf numFmtId="0" fontId="0" fillId="0" borderId="0" xfId="0" applyFont="1" applyAlignment="1">
      <alignment horizontal="centerContinuous" wrapText="1"/>
    </xf>
    <xf numFmtId="0" fontId="2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9" fillId="0" borderId="20" xfId="0" applyFont="1" applyBorder="1" applyAlignment="1">
      <alignment horizontal="center" vertical="center" wrapText="1"/>
    </xf>
    <xf numFmtId="0" fontId="0" fillId="0" borderId="19" xfId="0" applyFont="1" applyBorder="1" applyAlignment="1">
      <alignment vertical="top" wrapText="1"/>
    </xf>
    <xf numFmtId="180" fontId="0" fillId="0" borderId="19" xfId="0" applyNumberFormat="1" applyFont="1" applyBorder="1" applyAlignment="1">
      <alignment horizontal="right" vertical="top" wrapText="1"/>
    </xf>
    <xf numFmtId="0" fontId="0" fillId="0" borderId="13" xfId="0" applyFont="1" applyBorder="1" applyAlignment="1">
      <alignment vertical="top" wrapText="1"/>
    </xf>
    <xf numFmtId="3" fontId="0" fillId="0" borderId="13" xfId="0" applyNumberFormat="1" applyFont="1" applyBorder="1" applyAlignment="1">
      <alignment horizontal="right" vertical="top" wrapText="1"/>
    </xf>
    <xf numFmtId="3" fontId="0" fillId="0" borderId="13" xfId="0" applyNumberFormat="1" applyFont="1" applyFill="1" applyBorder="1" applyAlignment="1">
      <alignment horizontal="right" vertical="top" wrapText="1"/>
    </xf>
    <xf numFmtId="0" fontId="0" fillId="0" borderId="13" xfId="0" applyFont="1" applyFill="1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20" fillId="0" borderId="16" xfId="0" applyFont="1" applyBorder="1" applyAlignment="1">
      <alignment vertical="top" wrapText="1"/>
    </xf>
    <xf numFmtId="3" fontId="20" fillId="0" borderId="16" xfId="0" applyNumberFormat="1" applyFont="1" applyBorder="1" applyAlignment="1">
      <alignment horizontal="right" vertical="top" wrapText="1"/>
    </xf>
    <xf numFmtId="0" fontId="0" fillId="0" borderId="14" xfId="0" applyFont="1" applyBorder="1" applyAlignment="1">
      <alignment vertical="top" wrapText="1"/>
    </xf>
    <xf numFmtId="0" fontId="0" fillId="0" borderId="0" xfId="0" applyFont="1" applyAlignment="1">
      <alignment horizontal="centerContinuous"/>
    </xf>
    <xf numFmtId="0" fontId="0" fillId="0" borderId="10" xfId="56" applyFont="1" applyFill="1" applyBorder="1" applyAlignment="1">
      <alignment horizontal="right" wrapText="1"/>
      <protection/>
    </xf>
    <xf numFmtId="0" fontId="0" fillId="0" borderId="21" xfId="56" applyFont="1" applyFill="1" applyBorder="1" applyAlignment="1">
      <alignment horizontal="center" wrapText="1"/>
      <protection/>
    </xf>
    <xf numFmtId="0" fontId="0" fillId="0" borderId="21" xfId="56" applyFont="1" applyFill="1" applyBorder="1" applyAlignment="1">
      <alignment horizontal="center"/>
      <protection/>
    </xf>
    <xf numFmtId="4" fontId="0" fillId="0" borderId="21" xfId="56" applyNumberFormat="1" applyFont="1" applyFill="1" applyBorder="1" applyAlignment="1">
      <alignment horizontal="right"/>
      <protection/>
    </xf>
    <xf numFmtId="2" fontId="0" fillId="0" borderId="10" xfId="61" applyNumberFormat="1" applyFont="1" applyFill="1" applyBorder="1" applyAlignment="1">
      <alignment horizontal="center" vertical="top" wrapText="1"/>
      <protection/>
    </xf>
    <xf numFmtId="0" fontId="0" fillId="26" borderId="10" xfId="56" applyFont="1" applyFill="1" applyBorder="1" applyAlignment="1">
      <alignment horizontal="center" wrapText="1"/>
      <protection/>
    </xf>
    <xf numFmtId="0" fontId="0" fillId="26" borderId="10" xfId="56" applyFont="1" applyFill="1" applyBorder="1" applyAlignment="1">
      <alignment horizontal="center"/>
      <protection/>
    </xf>
    <xf numFmtId="0" fontId="23" fillId="26" borderId="0" xfId="56" applyFont="1" applyFill="1" applyAlignment="1">
      <alignment vertical="top" wrapText="1"/>
      <protection/>
    </xf>
    <xf numFmtId="0" fontId="23" fillId="0" borderId="21" xfId="56" applyFont="1" applyFill="1" applyBorder="1" applyAlignment="1">
      <alignment horizontal="left" wrapText="1"/>
      <protection/>
    </xf>
    <xf numFmtId="0" fontId="25" fillId="0" borderId="10" xfId="0" applyFont="1" applyFill="1" applyBorder="1" applyAlignment="1">
      <alignment wrapText="1"/>
    </xf>
    <xf numFmtId="49" fontId="0" fillId="26" borderId="0" xfId="0" applyNumberFormat="1" applyFont="1" applyFill="1" applyAlignment="1">
      <alignment horizontal="right"/>
    </xf>
    <xf numFmtId="49" fontId="19" fillId="26" borderId="40" xfId="0" applyNumberFormat="1" applyFont="1" applyFill="1" applyBorder="1" applyAlignment="1">
      <alignment horizontal="center" vertical="center" wrapText="1"/>
    </xf>
    <xf numFmtId="49" fontId="19" fillId="26" borderId="41" xfId="0" applyNumberFormat="1" applyFont="1" applyFill="1" applyBorder="1" applyAlignment="1">
      <alignment horizontal="center" vertical="top" wrapText="1"/>
    </xf>
    <xf numFmtId="4" fontId="20" fillId="26" borderId="42" xfId="0" applyNumberFormat="1" applyFont="1" applyFill="1" applyBorder="1" applyAlignment="1">
      <alignment horizontal="right" vertical="top"/>
    </xf>
    <xf numFmtId="4" fontId="33" fillId="26" borderId="32" xfId="0" applyNumberFormat="1" applyFont="1" applyFill="1" applyBorder="1" applyAlignment="1">
      <alignment horizontal="right" vertical="top"/>
    </xf>
    <xf numFmtId="4" fontId="20" fillId="26" borderId="15" xfId="0" applyNumberFormat="1" applyFont="1" applyFill="1" applyBorder="1" applyAlignment="1">
      <alignment horizontal="right" vertical="top"/>
    </xf>
    <xf numFmtId="4" fontId="0" fillId="26" borderId="15" xfId="0" applyNumberFormat="1" applyFont="1" applyFill="1" applyBorder="1" applyAlignment="1">
      <alignment horizontal="right" vertical="top"/>
    </xf>
    <xf numFmtId="4" fontId="21" fillId="26" borderId="15" xfId="0" applyNumberFormat="1" applyFont="1" applyFill="1" applyBorder="1" applyAlignment="1">
      <alignment horizontal="right" vertical="top"/>
    </xf>
    <xf numFmtId="4" fontId="33" fillId="26" borderId="15" xfId="0" applyNumberFormat="1" applyFont="1" applyFill="1" applyBorder="1" applyAlignment="1">
      <alignment horizontal="right" vertical="top"/>
    </xf>
    <xf numFmtId="4" fontId="0" fillId="26" borderId="35" xfId="0" applyNumberFormat="1" applyFont="1" applyFill="1" applyBorder="1" applyAlignment="1">
      <alignment horizontal="right" vertical="top"/>
    </xf>
    <xf numFmtId="4" fontId="0" fillId="26" borderId="20" xfId="0" applyNumberFormat="1" applyFont="1" applyFill="1" applyBorder="1" applyAlignment="1">
      <alignment horizontal="right" vertical="top"/>
    </xf>
    <xf numFmtId="4" fontId="0" fillId="26" borderId="34" xfId="0" applyNumberFormat="1" applyFont="1" applyFill="1" applyBorder="1" applyAlignment="1">
      <alignment horizontal="right" vertical="top"/>
    </xf>
    <xf numFmtId="4" fontId="0" fillId="26" borderId="43" xfId="0" applyNumberFormat="1" applyFont="1" applyFill="1" applyBorder="1" applyAlignment="1">
      <alignment horizontal="right" vertical="top"/>
    </xf>
    <xf numFmtId="4" fontId="0" fillId="26" borderId="20" xfId="0" applyNumberFormat="1" applyFont="1" applyFill="1" applyBorder="1" applyAlignment="1">
      <alignment horizontal="right"/>
    </xf>
    <xf numFmtId="4" fontId="20" fillId="26" borderId="14" xfId="0" applyNumberFormat="1" applyFont="1" applyFill="1" applyBorder="1" applyAlignment="1">
      <alignment/>
    </xf>
    <xf numFmtId="4" fontId="20" fillId="26" borderId="13" xfId="0" applyNumberFormat="1" applyFont="1" applyFill="1" applyBorder="1" applyAlignment="1">
      <alignment/>
    </xf>
    <xf numFmtId="4" fontId="21" fillId="26" borderId="13" xfId="0" applyNumberFormat="1" applyFont="1" applyFill="1" applyBorder="1" applyAlignment="1">
      <alignment/>
    </xf>
    <xf numFmtId="4" fontId="0" fillId="26" borderId="13" xfId="0" applyNumberFormat="1" applyFont="1" applyFill="1" applyBorder="1" applyAlignment="1">
      <alignment/>
    </xf>
    <xf numFmtId="4" fontId="0" fillId="26" borderId="20" xfId="0" applyNumberFormat="1" applyFont="1" applyFill="1" applyBorder="1" applyAlignment="1">
      <alignment/>
    </xf>
    <xf numFmtId="4" fontId="0" fillId="26" borderId="19" xfId="0" applyNumberFormat="1" applyFont="1" applyFill="1" applyBorder="1" applyAlignment="1">
      <alignment/>
    </xf>
    <xf numFmtId="4" fontId="0" fillId="26" borderId="13" xfId="0" applyNumberFormat="1" applyFill="1" applyBorder="1" applyAlignment="1">
      <alignment/>
    </xf>
    <xf numFmtId="4" fontId="0" fillId="26" borderId="16" xfId="0" applyNumberFormat="1" applyFont="1" applyFill="1" applyBorder="1" applyAlignment="1">
      <alignment/>
    </xf>
    <xf numFmtId="0" fontId="0" fillId="26" borderId="0" xfId="0" applyFont="1" applyFill="1" applyAlignment="1">
      <alignment/>
    </xf>
    <xf numFmtId="4" fontId="23" fillId="26" borderId="0" xfId="57" applyNumberFormat="1" applyFont="1" applyFill="1" applyAlignment="1">
      <alignment horizontal="right" vertical="top"/>
      <protection/>
    </xf>
    <xf numFmtId="4" fontId="0" fillId="26" borderId="0" xfId="0" applyNumberFormat="1" applyFont="1" applyFill="1" applyAlignment="1">
      <alignment horizontal="right"/>
    </xf>
    <xf numFmtId="4" fontId="24" fillId="26" borderId="0" xfId="56" applyNumberFormat="1" applyFont="1" applyFill="1" applyAlignment="1">
      <alignment horizontal="centerContinuous" vertical="center" wrapText="1"/>
      <protection/>
    </xf>
    <xf numFmtId="4" fontId="23" fillId="26" borderId="0" xfId="56" applyNumberFormat="1" applyFont="1" applyFill="1" applyAlignment="1">
      <alignment horizontal="right" vertical="center" wrapText="1"/>
      <protection/>
    </xf>
    <xf numFmtId="4" fontId="29" fillId="26" borderId="11" xfId="56" applyNumberFormat="1" applyFont="1" applyFill="1" applyBorder="1" applyAlignment="1">
      <alignment horizontal="center" vertical="center" wrapText="1"/>
      <protection/>
    </xf>
    <xf numFmtId="4" fontId="29" fillId="26" borderId="20" xfId="56" applyNumberFormat="1" applyFont="1" applyFill="1" applyBorder="1" applyAlignment="1">
      <alignment horizontal="center" vertical="center" wrapText="1"/>
      <protection/>
    </xf>
    <xf numFmtId="3" fontId="29" fillId="26" borderId="20" xfId="56" applyNumberFormat="1" applyFont="1" applyFill="1" applyBorder="1" applyAlignment="1">
      <alignment horizontal="center" vertical="center" wrapText="1"/>
      <protection/>
    </xf>
    <xf numFmtId="4" fontId="24" fillId="26" borderId="23" xfId="56" applyNumberFormat="1" applyFont="1" applyFill="1" applyBorder="1" applyAlignment="1">
      <alignment horizontal="right"/>
      <protection/>
    </xf>
    <xf numFmtId="4" fontId="24" fillId="26" borderId="12" xfId="56" applyNumberFormat="1" applyFont="1" applyFill="1" applyBorder="1" applyAlignment="1">
      <alignment horizontal="right"/>
      <protection/>
    </xf>
    <xf numFmtId="4" fontId="25" fillId="26" borderId="10" xfId="56" applyNumberFormat="1" applyFont="1" applyFill="1" applyBorder="1" applyAlignment="1">
      <alignment horizontal="right"/>
      <protection/>
    </xf>
    <xf numFmtId="4" fontId="23" fillId="26" borderId="10" xfId="56" applyNumberFormat="1" applyFont="1" applyFill="1" applyBorder="1" applyAlignment="1">
      <alignment horizontal="right"/>
      <protection/>
    </xf>
    <xf numFmtId="4" fontId="21" fillId="26" borderId="10" xfId="56" applyNumberFormat="1" applyFont="1" applyFill="1" applyBorder="1" applyAlignment="1">
      <alignment horizontal="right"/>
      <protection/>
    </xf>
    <xf numFmtId="4" fontId="0" fillId="26" borderId="10" xfId="56" applyNumberFormat="1" applyFont="1" applyFill="1" applyBorder="1" applyAlignment="1">
      <alignment horizontal="right"/>
      <protection/>
    </xf>
    <xf numFmtId="4" fontId="0" fillId="26" borderId="17" xfId="56" applyNumberFormat="1" applyFont="1" applyFill="1" applyBorder="1" applyAlignment="1">
      <alignment horizontal="right"/>
      <protection/>
    </xf>
    <xf numFmtId="4" fontId="23" fillId="26" borderId="17" xfId="56" applyNumberFormat="1" applyFont="1" applyFill="1" applyBorder="1" applyAlignment="1">
      <alignment horizontal="right"/>
      <protection/>
    </xf>
    <xf numFmtId="4" fontId="23" fillId="26" borderId="21" xfId="56" applyNumberFormat="1" applyFont="1" applyFill="1" applyBorder="1" applyAlignment="1">
      <alignment horizontal="right"/>
      <protection/>
    </xf>
    <xf numFmtId="4" fontId="26" fillId="26" borderId="12" xfId="56" applyNumberFormat="1" applyFont="1" applyFill="1" applyBorder="1" applyAlignment="1">
      <alignment horizontal="right"/>
      <protection/>
    </xf>
    <xf numFmtId="4" fontId="23" fillId="26" borderId="22" xfId="56" applyNumberFormat="1" applyFont="1" applyFill="1" applyBorder="1" applyAlignment="1">
      <alignment horizontal="right"/>
      <protection/>
    </xf>
    <xf numFmtId="4" fontId="26" fillId="26" borderId="20" xfId="56" applyNumberFormat="1" applyFont="1" applyFill="1" applyBorder="1" applyAlignment="1">
      <alignment horizontal="right"/>
      <protection/>
    </xf>
    <xf numFmtId="4" fontId="23" fillId="26" borderId="0" xfId="57" applyNumberFormat="1" applyFont="1" applyFill="1" applyAlignment="1">
      <alignment vertical="top" wrapText="1"/>
      <protection/>
    </xf>
    <xf numFmtId="4" fontId="23" fillId="26" borderId="0" xfId="57" applyNumberFormat="1" applyFont="1" applyFill="1" applyAlignment="1">
      <alignment horizontal="right" vertical="center"/>
      <protection/>
    </xf>
    <xf numFmtId="4" fontId="24" fillId="26" borderId="21" xfId="56" applyNumberFormat="1" applyFont="1" applyFill="1" applyBorder="1" applyAlignment="1">
      <alignment horizontal="right"/>
      <protection/>
    </xf>
    <xf numFmtId="4" fontId="24" fillId="26" borderId="24" xfId="56" applyNumberFormat="1" applyFont="1" applyFill="1" applyBorder="1" applyAlignment="1">
      <alignment horizontal="right"/>
      <protection/>
    </xf>
    <xf numFmtId="4" fontId="25" fillId="26" borderId="12" xfId="56" applyNumberFormat="1" applyFont="1" applyFill="1" applyBorder="1" applyAlignment="1">
      <alignment horizontal="right"/>
      <protection/>
    </xf>
    <xf numFmtId="4" fontId="26" fillId="26" borderId="33" xfId="56" applyNumberFormat="1" applyFont="1" applyFill="1" applyBorder="1" applyAlignment="1">
      <alignment horizontal="right"/>
      <protection/>
    </xf>
    <xf numFmtId="0" fontId="23" fillId="26" borderId="0" xfId="57" applyFont="1" applyFill="1" applyAlignment="1">
      <alignment horizontal="right" vertical="top"/>
      <protection/>
    </xf>
    <xf numFmtId="0" fontId="23" fillId="26" borderId="0" xfId="57" applyFont="1" applyFill="1" applyAlignment="1">
      <alignment horizontal="right" vertical="center"/>
      <protection/>
    </xf>
    <xf numFmtId="0" fontId="23" fillId="26" borderId="0" xfId="56" applyFont="1" applyFill="1" applyAlignment="1">
      <alignment horizontal="right" vertical="center" wrapText="1"/>
      <protection/>
    </xf>
    <xf numFmtId="0" fontId="29" fillId="26" borderId="24" xfId="56" applyFont="1" applyFill="1" applyBorder="1" applyAlignment="1">
      <alignment horizontal="center" vertical="center" wrapText="1"/>
      <protection/>
    </xf>
    <xf numFmtId="0" fontId="29" fillId="26" borderId="27" xfId="56" applyFont="1" applyFill="1" applyBorder="1" applyAlignment="1">
      <alignment horizontal="center" vertical="center" wrapText="1"/>
      <protection/>
    </xf>
    <xf numFmtId="4" fontId="23" fillId="26" borderId="20" xfId="56" applyNumberFormat="1" applyFont="1" applyFill="1" applyBorder="1" applyAlignment="1">
      <alignment vertical="top" wrapText="1"/>
      <protection/>
    </xf>
    <xf numFmtId="0" fontId="23" fillId="26" borderId="0" xfId="57" applyFont="1" applyFill="1" applyAlignment="1">
      <alignment vertical="top" wrapText="1"/>
      <protection/>
    </xf>
    <xf numFmtId="0" fontId="0" fillId="0" borderId="0" xfId="61" applyFont="1" applyFill="1" applyBorder="1" applyAlignment="1">
      <alignment horizontal="center" wrapText="1"/>
      <protection/>
    </xf>
    <xf numFmtId="49" fontId="18" fillId="0" borderId="0" xfId="0" applyNumberFormat="1" applyFont="1" applyFill="1" applyBorder="1" applyAlignment="1">
      <alignment horizontal="right"/>
    </xf>
    <xf numFmtId="0" fontId="0" fillId="0" borderId="0" xfId="61" applyFont="1" applyBorder="1" applyAlignment="1">
      <alignment horizontal="center" wrapText="1"/>
      <protection/>
    </xf>
    <xf numFmtId="49" fontId="0" fillId="0" borderId="0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24" fillId="0" borderId="0" xfId="56" applyFont="1" applyFill="1" applyAlignment="1">
      <alignment horizontal="center" vertical="center" wrapText="1"/>
      <protection/>
    </xf>
    <xf numFmtId="49" fontId="18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19" fillId="0" borderId="2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top" wrapText="1"/>
    </xf>
    <xf numFmtId="3" fontId="0" fillId="0" borderId="13" xfId="0" applyNumberFormat="1" applyFont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3" fontId="20" fillId="0" borderId="16" xfId="0" applyNumberFormat="1" applyFont="1" applyBorder="1" applyAlignment="1">
      <alignment horizontal="center" vertical="top" wrapText="1"/>
    </xf>
    <xf numFmtId="0" fontId="0" fillId="0" borderId="44" xfId="0" applyFont="1" applyFill="1" applyBorder="1" applyAlignment="1">
      <alignment horizontal="center" vertical="top" wrapText="1"/>
    </xf>
    <xf numFmtId="0" fontId="0" fillId="0" borderId="45" xfId="0" applyFont="1" applyFill="1" applyBorder="1" applyAlignment="1">
      <alignment horizontal="center" vertical="top" wrapText="1"/>
    </xf>
    <xf numFmtId="3" fontId="20" fillId="0" borderId="46" xfId="0" applyNumberFormat="1" applyFont="1" applyBorder="1" applyAlignment="1">
      <alignment horizontal="center" vertical="top" wrapText="1"/>
    </xf>
    <xf numFmtId="3" fontId="20" fillId="0" borderId="47" xfId="0" applyNumberFormat="1" applyFont="1" applyBorder="1" applyAlignment="1">
      <alignment horizontal="center" vertical="top" wrapText="1"/>
    </xf>
    <xf numFmtId="0" fontId="19" fillId="0" borderId="39" xfId="0" applyFont="1" applyBorder="1" applyAlignment="1">
      <alignment horizontal="center" vertical="center" wrapText="1"/>
    </xf>
    <xf numFmtId="0" fontId="19" fillId="0" borderId="48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top" wrapText="1"/>
    </xf>
    <xf numFmtId="0" fontId="0" fillId="0" borderId="50" xfId="0" applyFont="1" applyBorder="1" applyAlignment="1">
      <alignment horizontal="center" vertical="top" wrapText="1"/>
    </xf>
    <xf numFmtId="3" fontId="0" fillId="0" borderId="44" xfId="0" applyNumberFormat="1" applyFont="1" applyBorder="1" applyAlignment="1">
      <alignment horizontal="center" vertical="top" wrapText="1"/>
    </xf>
    <xf numFmtId="3" fontId="0" fillId="0" borderId="45" xfId="0" applyNumberFormat="1" applyFont="1" applyBorder="1" applyAlignment="1">
      <alignment horizontal="center" vertical="top" wrapText="1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_20191213 154-6-РД бюджет на 2020 год (приложения)" xfId="55"/>
    <cellStyle name="Обычный 3" xfId="56"/>
    <cellStyle name="Обычный 3_20210219 230-6-РД об уточнении бюджете на 2021 год (приложения)" xfId="57"/>
    <cellStyle name="Обычный 3_уточнение март2019 (приложения)" xfId="58"/>
    <cellStyle name="Обычный 4" xfId="59"/>
    <cellStyle name="Обычный_198-4-РД от15122010 о бюджете 2011 прил (опубл в РайВестн №101 от17122010)_273-4-РД от16112011 о бюджете на 2012г прил (опубл №103 от23122011) 2" xfId="60"/>
    <cellStyle name="Обычный_273-4-РД от16112011 о бюджете на 2012г прил (опубл №103 от23122011)" xfId="61"/>
    <cellStyle name="Обычный_cв март (6)_сводная" xfId="62"/>
    <cellStyle name="Обычный_прил5 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internet.garant.ru/#/document/12125267/entry/50" TargetMode="External" /><Relationship Id="rId2" Type="http://schemas.openxmlformats.org/officeDocument/2006/relationships/hyperlink" Target="https://internet.garant.ru/#/document/12125267/entry/60" TargetMode="External" /><Relationship Id="rId3" Type="http://schemas.openxmlformats.org/officeDocument/2006/relationships/hyperlink" Target="https://internet.garant.ru/#/document/12125267/entry/140" TargetMode="External" /><Relationship Id="rId4" Type="http://schemas.openxmlformats.org/officeDocument/2006/relationships/hyperlink" Target="https://internet.garant.ru/#/document/12125267/entry/150" TargetMode="External" /><Relationship Id="rId5" Type="http://schemas.openxmlformats.org/officeDocument/2006/relationships/hyperlink" Target="https://internet.garant.ru/#/document/12125267/entry/190" TargetMode="External" /><Relationship Id="rId6" Type="http://schemas.openxmlformats.org/officeDocument/2006/relationships/hyperlink" Target="https://internet.garant.ru/#/document/12125267/entry/200" TargetMode="External" /><Relationship Id="rId7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7C80"/>
  </sheetPr>
  <dimension ref="A1:D23"/>
  <sheetViews>
    <sheetView showGridLines="0" zoomScaleSheetLayoutView="100" workbookViewId="0" topLeftCell="A1">
      <selection activeCell="B6" sqref="B6"/>
    </sheetView>
  </sheetViews>
  <sheetFormatPr defaultColWidth="9.140625" defaultRowHeight="12.75"/>
  <cols>
    <col min="1" max="1" width="22.140625" style="56" customWidth="1"/>
    <col min="2" max="2" width="50.140625" style="56" customWidth="1"/>
    <col min="3" max="3" width="14.57421875" style="56" customWidth="1"/>
    <col min="4" max="16384" width="9.140625" style="56" customWidth="1"/>
  </cols>
  <sheetData>
    <row r="1" spans="2:3" ht="12.75">
      <c r="B1" s="356"/>
      <c r="C1" s="356" t="s">
        <v>153</v>
      </c>
    </row>
    <row r="2" spans="2:3" ht="12.75">
      <c r="B2" s="356"/>
      <c r="C2" s="42" t="s">
        <v>247</v>
      </c>
    </row>
    <row r="3" spans="2:4" ht="12.75">
      <c r="B3" s="508" t="s">
        <v>983</v>
      </c>
      <c r="C3" s="508"/>
      <c r="D3" s="330"/>
    </row>
    <row r="4" spans="1:3" ht="12.75" customHeight="1">
      <c r="A4" s="507" t="s">
        <v>856</v>
      </c>
      <c r="B4" s="507"/>
      <c r="C4" s="507"/>
    </row>
    <row r="5" spans="1:3" ht="12.75">
      <c r="A5" s="357"/>
      <c r="C5" s="358" t="s">
        <v>555</v>
      </c>
    </row>
    <row r="6" spans="1:3" ht="33.75">
      <c r="A6" s="359" t="s">
        <v>343</v>
      </c>
      <c r="B6" s="359" t="s">
        <v>273</v>
      </c>
      <c r="C6" s="359" t="s">
        <v>33</v>
      </c>
    </row>
    <row r="7" spans="1:3" ht="12.75">
      <c r="A7" s="359">
        <v>1</v>
      </c>
      <c r="B7" s="359">
        <v>2</v>
      </c>
      <c r="C7" s="359">
        <v>3</v>
      </c>
    </row>
    <row r="8" spans="1:4" ht="25.5">
      <c r="A8" s="360" t="s">
        <v>525</v>
      </c>
      <c r="B8" s="361" t="s">
        <v>101</v>
      </c>
      <c r="C8" s="362">
        <f>C9+C14</f>
        <v>20860326.00999999</v>
      </c>
      <c r="D8" s="363"/>
    </row>
    <row r="9" spans="1:4" ht="25.5">
      <c r="A9" s="364" t="s">
        <v>102</v>
      </c>
      <c r="B9" s="365" t="s">
        <v>179</v>
      </c>
      <c r="C9" s="366">
        <f>C10+C12</f>
        <v>-4567000</v>
      </c>
      <c r="D9" s="363"/>
    </row>
    <row r="10" spans="1:4" ht="38.25">
      <c r="A10" s="367" t="s">
        <v>159</v>
      </c>
      <c r="B10" s="368" t="s">
        <v>327</v>
      </c>
      <c r="C10" s="366">
        <f>C11</f>
        <v>14786000</v>
      </c>
      <c r="D10" s="363"/>
    </row>
    <row r="11" spans="1:4" ht="38.25">
      <c r="A11" s="367" t="s">
        <v>160</v>
      </c>
      <c r="B11" s="368" t="s">
        <v>328</v>
      </c>
      <c r="C11" s="369">
        <f>19353000+11140000-3670000-4567000-7470000</f>
        <v>14786000</v>
      </c>
      <c r="D11" s="363"/>
    </row>
    <row r="12" spans="1:4" ht="38.25">
      <c r="A12" s="364" t="s">
        <v>161</v>
      </c>
      <c r="B12" s="365" t="s">
        <v>177</v>
      </c>
      <c r="C12" s="366">
        <f>C13</f>
        <v>-19353000</v>
      </c>
      <c r="D12" s="363"/>
    </row>
    <row r="13" spans="1:4" ht="38.25">
      <c r="A13" s="364" t="s">
        <v>162</v>
      </c>
      <c r="B13" s="365" t="s">
        <v>178</v>
      </c>
      <c r="C13" s="369">
        <v>-19353000</v>
      </c>
      <c r="D13" s="363"/>
    </row>
    <row r="14" spans="1:4" ht="25.5">
      <c r="A14" s="364" t="s">
        <v>235</v>
      </c>
      <c r="B14" s="370" t="s">
        <v>552</v>
      </c>
      <c r="C14" s="371">
        <f>C15+C19</f>
        <v>25427326.00999999</v>
      </c>
      <c r="D14" s="363"/>
    </row>
    <row r="15" spans="1:4" ht="12.75">
      <c r="A15" s="364" t="s">
        <v>236</v>
      </c>
      <c r="B15" s="370" t="s">
        <v>237</v>
      </c>
      <c r="C15" s="371">
        <f>C16</f>
        <v>-745877415.46</v>
      </c>
      <c r="D15" s="363"/>
    </row>
    <row r="16" spans="1:4" ht="12.75">
      <c r="A16" s="364" t="s">
        <v>238</v>
      </c>
      <c r="B16" s="370" t="s">
        <v>239</v>
      </c>
      <c r="C16" s="371">
        <f>C17</f>
        <v>-745877415.46</v>
      </c>
      <c r="D16" s="363"/>
    </row>
    <row r="17" spans="1:4" ht="25.5">
      <c r="A17" s="364" t="s">
        <v>553</v>
      </c>
      <c r="B17" s="370" t="s">
        <v>240</v>
      </c>
      <c r="C17" s="371">
        <f>C18</f>
        <v>-745877415.46</v>
      </c>
      <c r="D17" s="363"/>
    </row>
    <row r="18" spans="1:4" ht="25.5">
      <c r="A18" s="364" t="s">
        <v>241</v>
      </c>
      <c r="B18" s="370" t="s">
        <v>242</v>
      </c>
      <c r="C18" s="369">
        <f>-728378708.09-14786000-2712707.37</f>
        <v>-745877415.46</v>
      </c>
      <c r="D18" s="363"/>
    </row>
    <row r="19" spans="1:4" ht="12.75">
      <c r="A19" s="364" t="s">
        <v>613</v>
      </c>
      <c r="B19" s="370" t="s">
        <v>554</v>
      </c>
      <c r="C19" s="371">
        <f>C20</f>
        <v>771304741.47</v>
      </c>
      <c r="D19" s="363"/>
    </row>
    <row r="20" spans="1:4" ht="12.75">
      <c r="A20" s="364" t="s">
        <v>614</v>
      </c>
      <c r="B20" s="370" t="s">
        <v>615</v>
      </c>
      <c r="C20" s="371">
        <f>C21</f>
        <v>771304741.47</v>
      </c>
      <c r="D20" s="363"/>
    </row>
    <row r="21" spans="1:4" ht="25.5">
      <c r="A21" s="364" t="s">
        <v>616</v>
      </c>
      <c r="B21" s="370" t="s">
        <v>617</v>
      </c>
      <c r="C21" s="371">
        <f>C22</f>
        <v>771304741.47</v>
      </c>
      <c r="D21" s="363"/>
    </row>
    <row r="22" spans="1:4" ht="25.5">
      <c r="A22" s="372" t="s">
        <v>618</v>
      </c>
      <c r="B22" s="373" t="s">
        <v>619</v>
      </c>
      <c r="C22" s="374">
        <f>749239034.1+19353000+2712707.37</f>
        <v>771304741.47</v>
      </c>
      <c r="D22" s="363"/>
    </row>
    <row r="23" ht="12.75">
      <c r="C23" s="375"/>
    </row>
  </sheetData>
  <sheetProtection/>
  <mergeCells count="2">
    <mergeCell ref="A4:C4"/>
    <mergeCell ref="B3:C3"/>
  </mergeCells>
  <printOptions/>
  <pageMargins left="0.984251968503937" right="0.3937007874015748" top="0.5905511811023623" bottom="0.3937007874015748" header="0.5118110236220472" footer="0.31496062992125984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9999"/>
    <pageSetUpPr fitToPage="1"/>
  </sheetPr>
  <dimension ref="A1:D22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4.8515625" style="0" customWidth="1"/>
    <col min="2" max="2" width="58.140625" style="0" customWidth="1"/>
    <col min="3" max="4" width="14.28125" style="0" customWidth="1"/>
  </cols>
  <sheetData>
    <row r="1" spans="2:4" ht="12.75">
      <c r="B1" s="10"/>
      <c r="D1" s="10" t="s">
        <v>943</v>
      </c>
    </row>
    <row r="2" spans="2:4" ht="12.75">
      <c r="B2" s="10"/>
      <c r="D2" s="11" t="s">
        <v>247</v>
      </c>
    </row>
    <row r="3" spans="3:4" ht="12.75">
      <c r="C3" s="424"/>
      <c r="D3" s="425" t="s">
        <v>985</v>
      </c>
    </row>
    <row r="4" ht="12.75">
      <c r="A4" s="10"/>
    </row>
    <row r="5" spans="1:4" ht="25.5" customHeight="1">
      <c r="A5" s="426" t="s">
        <v>944</v>
      </c>
      <c r="B5" s="427"/>
      <c r="C5" s="427"/>
      <c r="D5" s="427"/>
    </row>
    <row r="6" ht="12.75">
      <c r="A6" s="428"/>
    </row>
    <row r="7" spans="1:3" ht="12.75" customHeight="1">
      <c r="A7" s="427" t="s">
        <v>945</v>
      </c>
      <c r="B7" s="427"/>
      <c r="C7" s="427"/>
    </row>
    <row r="8" spans="1:3" ht="12.75">
      <c r="A8" s="429"/>
      <c r="C8" s="11"/>
    </row>
    <row r="9" spans="1:4" ht="45">
      <c r="A9" s="430" t="s">
        <v>946</v>
      </c>
      <c r="B9" s="430" t="s">
        <v>947</v>
      </c>
      <c r="C9" s="430" t="s">
        <v>948</v>
      </c>
      <c r="D9" s="430" t="s">
        <v>949</v>
      </c>
    </row>
    <row r="10" spans="1:4" ht="12.75">
      <c r="A10" s="431" t="s">
        <v>950</v>
      </c>
      <c r="B10" s="431" t="s">
        <v>951</v>
      </c>
      <c r="C10" s="432"/>
      <c r="D10" s="432"/>
    </row>
    <row r="11" spans="1:4" ht="25.5">
      <c r="A11" s="433" t="s">
        <v>952</v>
      </c>
      <c r="B11" s="433" t="s">
        <v>953</v>
      </c>
      <c r="C11" s="434">
        <v>14786000</v>
      </c>
      <c r="D11" s="435" t="s">
        <v>954</v>
      </c>
    </row>
    <row r="12" spans="1:4" ht="12.75">
      <c r="A12" s="436" t="s">
        <v>955</v>
      </c>
      <c r="B12" s="436" t="s">
        <v>956</v>
      </c>
      <c r="C12" s="435"/>
      <c r="D12" s="435"/>
    </row>
    <row r="13" spans="1:4" ht="12.75">
      <c r="A13" s="437"/>
      <c r="B13" s="438" t="s">
        <v>957</v>
      </c>
      <c r="C13" s="439">
        <f>SUM(C10:C12)</f>
        <v>14786000</v>
      </c>
      <c r="D13" s="439"/>
    </row>
    <row r="16" spans="1:3" ht="12.75" customHeight="1">
      <c r="A16" s="427" t="s">
        <v>958</v>
      </c>
      <c r="B16" s="427"/>
      <c r="C16" s="427"/>
    </row>
    <row r="17" spans="1:3" ht="12.75">
      <c r="A17" s="429"/>
      <c r="C17" s="11"/>
    </row>
    <row r="18" spans="1:4" ht="45" customHeight="1">
      <c r="A18" s="430" t="s">
        <v>946</v>
      </c>
      <c r="B18" s="430" t="s">
        <v>947</v>
      </c>
      <c r="C18" s="516" t="s">
        <v>959</v>
      </c>
      <c r="D18" s="516"/>
    </row>
    <row r="19" spans="1:4" ht="12.75">
      <c r="A19" s="440" t="s">
        <v>950</v>
      </c>
      <c r="B19" s="440" t="s">
        <v>951</v>
      </c>
      <c r="C19" s="517"/>
      <c r="D19" s="517"/>
    </row>
    <row r="20" spans="1:4" ht="25.5">
      <c r="A20" s="433" t="s">
        <v>952</v>
      </c>
      <c r="B20" s="433" t="s">
        <v>953</v>
      </c>
      <c r="C20" s="518">
        <v>19353000</v>
      </c>
      <c r="D20" s="518"/>
    </row>
    <row r="21" spans="1:4" ht="12.75">
      <c r="A21" s="436" t="s">
        <v>955</v>
      </c>
      <c r="B21" s="436" t="s">
        <v>956</v>
      </c>
      <c r="C21" s="519"/>
      <c r="D21" s="519"/>
    </row>
    <row r="22" spans="1:4" ht="12.75">
      <c r="A22" s="437"/>
      <c r="B22" s="438" t="s">
        <v>957</v>
      </c>
      <c r="C22" s="520">
        <f>SUM(C19:C21)</f>
        <v>19353000</v>
      </c>
      <c r="D22" s="520"/>
    </row>
  </sheetData>
  <sheetProtection/>
  <mergeCells count="5">
    <mergeCell ref="C18:D18"/>
    <mergeCell ref="C19:D19"/>
    <mergeCell ref="C20:D20"/>
    <mergeCell ref="C21:D21"/>
    <mergeCell ref="C22:D2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9999"/>
    <pageSetUpPr fitToPage="1"/>
  </sheetPr>
  <dimension ref="A1:F22"/>
  <sheetViews>
    <sheetView zoomScalePageLayoutView="0" workbookViewId="0" topLeftCell="A1">
      <selection activeCell="F4" sqref="F4"/>
    </sheetView>
  </sheetViews>
  <sheetFormatPr defaultColWidth="9.140625" defaultRowHeight="12.75"/>
  <cols>
    <col min="1" max="1" width="4.8515625" style="0" customWidth="1"/>
    <col min="2" max="2" width="42.7109375" style="0" customWidth="1"/>
    <col min="3" max="6" width="12.57421875" style="0" customWidth="1"/>
  </cols>
  <sheetData>
    <row r="1" spans="2:6" ht="12.75">
      <c r="B1" s="10"/>
      <c r="F1" s="10" t="s">
        <v>960</v>
      </c>
    </row>
    <row r="2" spans="2:6" ht="12.75">
      <c r="B2" s="10"/>
      <c r="F2" s="11" t="s">
        <v>247</v>
      </c>
    </row>
    <row r="3" spans="2:6" ht="12.75">
      <c r="B3" s="424"/>
      <c r="F3" s="425" t="s">
        <v>985</v>
      </c>
    </row>
    <row r="4" ht="12.75">
      <c r="A4" s="10"/>
    </row>
    <row r="5" spans="1:6" ht="25.5">
      <c r="A5" s="426" t="s">
        <v>961</v>
      </c>
      <c r="B5" s="427"/>
      <c r="C5" s="427"/>
      <c r="D5" s="441"/>
      <c r="E5" s="441"/>
      <c r="F5" s="441"/>
    </row>
    <row r="6" ht="12.75">
      <c r="A6" s="428"/>
    </row>
    <row r="7" spans="1:3" ht="12.75">
      <c r="A7" s="427" t="s">
        <v>945</v>
      </c>
      <c r="B7" s="427"/>
      <c r="C7" s="427"/>
    </row>
    <row r="8" spans="1:6" ht="12.75">
      <c r="A8" s="429"/>
      <c r="C8" s="11"/>
      <c r="F8" s="11"/>
    </row>
    <row r="9" spans="1:6" ht="56.25">
      <c r="A9" s="430" t="s">
        <v>946</v>
      </c>
      <c r="B9" s="430" t="s">
        <v>947</v>
      </c>
      <c r="C9" s="430" t="s">
        <v>962</v>
      </c>
      <c r="D9" s="430" t="s">
        <v>949</v>
      </c>
      <c r="E9" s="430" t="s">
        <v>963</v>
      </c>
      <c r="F9" s="430" t="s">
        <v>949</v>
      </c>
    </row>
    <row r="10" spans="1:6" ht="12.75">
      <c r="A10" s="431" t="s">
        <v>950</v>
      </c>
      <c r="B10" s="431" t="s">
        <v>951</v>
      </c>
      <c r="C10" s="432"/>
      <c r="D10" s="432"/>
      <c r="E10" s="432"/>
      <c r="F10" s="432"/>
    </row>
    <row r="11" spans="1:6" ht="25.5">
      <c r="A11" s="433" t="s">
        <v>952</v>
      </c>
      <c r="B11" s="433" t="s">
        <v>964</v>
      </c>
      <c r="C11" s="434">
        <v>14643000</v>
      </c>
      <c r="D11" s="434" t="s">
        <v>965</v>
      </c>
      <c r="E11" s="434">
        <v>14786000</v>
      </c>
      <c r="F11" s="435" t="s">
        <v>966</v>
      </c>
    </row>
    <row r="12" spans="1:6" ht="12.75">
      <c r="A12" s="436" t="s">
        <v>955</v>
      </c>
      <c r="B12" s="436" t="s">
        <v>956</v>
      </c>
      <c r="C12" s="435"/>
      <c r="D12" s="435"/>
      <c r="E12" s="435"/>
      <c r="F12" s="435"/>
    </row>
    <row r="13" spans="1:6" ht="12.75">
      <c r="A13" s="437"/>
      <c r="B13" s="438" t="s">
        <v>957</v>
      </c>
      <c r="C13" s="439">
        <f>SUM(C10:C12)</f>
        <v>14643000</v>
      </c>
      <c r="D13" s="439">
        <f>SUM(D10:D12)</f>
        <v>0</v>
      </c>
      <c r="E13" s="439">
        <f>SUM(E10:E12)</f>
        <v>14786000</v>
      </c>
      <c r="F13" s="439">
        <f>SUM(F10:F12)</f>
        <v>0</v>
      </c>
    </row>
    <row r="16" spans="1:3" ht="12.75">
      <c r="A16" s="427" t="s">
        <v>958</v>
      </c>
      <c r="B16" s="427"/>
      <c r="C16" s="427"/>
    </row>
    <row r="17" spans="1:6" ht="12.75">
      <c r="A17" s="429"/>
      <c r="C17" s="11"/>
      <c r="D17" s="11"/>
      <c r="F17" s="11"/>
    </row>
    <row r="18" spans="1:6" ht="22.5">
      <c r="A18" s="430" t="s">
        <v>946</v>
      </c>
      <c r="B18" s="430" t="s">
        <v>947</v>
      </c>
      <c r="C18" s="525" t="s">
        <v>967</v>
      </c>
      <c r="D18" s="526"/>
      <c r="E18" s="525" t="s">
        <v>968</v>
      </c>
      <c r="F18" s="526"/>
    </row>
    <row r="19" spans="1:6" ht="12.75">
      <c r="A19" s="440" t="s">
        <v>950</v>
      </c>
      <c r="B19" s="440" t="s">
        <v>951</v>
      </c>
      <c r="C19" s="527"/>
      <c r="D19" s="528"/>
      <c r="E19" s="527"/>
      <c r="F19" s="528"/>
    </row>
    <row r="20" spans="1:6" ht="25.5">
      <c r="A20" s="433" t="s">
        <v>952</v>
      </c>
      <c r="B20" s="433" t="s">
        <v>964</v>
      </c>
      <c r="C20" s="529">
        <v>14643000</v>
      </c>
      <c r="D20" s="530"/>
      <c r="E20" s="529">
        <v>14786000</v>
      </c>
      <c r="F20" s="530"/>
    </row>
    <row r="21" spans="1:6" ht="12.75">
      <c r="A21" s="436" t="s">
        <v>955</v>
      </c>
      <c r="B21" s="436" t="s">
        <v>956</v>
      </c>
      <c r="C21" s="521"/>
      <c r="D21" s="522"/>
      <c r="E21" s="521"/>
      <c r="F21" s="522"/>
    </row>
    <row r="22" spans="1:6" ht="12.75">
      <c r="A22" s="437"/>
      <c r="B22" s="438" t="s">
        <v>957</v>
      </c>
      <c r="C22" s="523">
        <f>SUM(C19:C21)</f>
        <v>14643000</v>
      </c>
      <c r="D22" s="524"/>
      <c r="E22" s="523">
        <f>SUM(E19:E21)</f>
        <v>14786000</v>
      </c>
      <c r="F22" s="524"/>
    </row>
  </sheetData>
  <sheetProtection/>
  <mergeCells count="10">
    <mergeCell ref="C21:D21"/>
    <mergeCell ref="E21:F21"/>
    <mergeCell ref="C22:D22"/>
    <mergeCell ref="E22:F22"/>
    <mergeCell ref="C18:D18"/>
    <mergeCell ref="E18:F18"/>
    <mergeCell ref="C19:D19"/>
    <mergeCell ref="E19:F19"/>
    <mergeCell ref="C20:D20"/>
    <mergeCell ref="E20:F2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7C80"/>
    <pageSetUpPr fitToPage="1"/>
  </sheetPr>
  <dimension ref="A1:J23"/>
  <sheetViews>
    <sheetView showGridLines="0" zoomScaleSheetLayoutView="100" zoomScalePageLayoutView="0" workbookViewId="0" topLeftCell="A4">
      <selection activeCell="D22" sqref="D22"/>
    </sheetView>
  </sheetViews>
  <sheetFormatPr defaultColWidth="9.140625" defaultRowHeight="12.75"/>
  <cols>
    <col min="1" max="1" width="22.140625" style="3" customWidth="1"/>
    <col min="2" max="2" width="50.8515625" style="3" customWidth="1"/>
    <col min="3" max="3" width="12.57421875" style="3" customWidth="1"/>
    <col min="4" max="4" width="14.421875" style="3" customWidth="1"/>
    <col min="5" max="16384" width="9.140625" style="3" customWidth="1"/>
  </cols>
  <sheetData>
    <row r="1" spans="2:4" ht="12.75">
      <c r="B1" s="16"/>
      <c r="D1" s="16" t="s">
        <v>697</v>
      </c>
    </row>
    <row r="2" spans="2:4" ht="12.75">
      <c r="B2" s="16"/>
      <c r="D2" s="11" t="s">
        <v>247</v>
      </c>
    </row>
    <row r="3" spans="2:4" ht="12.75">
      <c r="B3" s="10"/>
      <c r="C3" s="508" t="s">
        <v>983</v>
      </c>
      <c r="D3" s="508"/>
    </row>
    <row r="4" spans="1:3" ht="12.75" customHeight="1">
      <c r="A4" s="509" t="s">
        <v>863</v>
      </c>
      <c r="B4" s="509"/>
      <c r="C4" s="509"/>
    </row>
    <row r="5" spans="1:4" ht="12.75">
      <c r="A5" s="4"/>
      <c r="C5" s="5"/>
      <c r="D5" s="5" t="s">
        <v>555</v>
      </c>
    </row>
    <row r="6" spans="1:4" ht="33.75">
      <c r="A6" s="6" t="s">
        <v>343</v>
      </c>
      <c r="B6" s="6" t="s">
        <v>273</v>
      </c>
      <c r="C6" s="6" t="s">
        <v>574</v>
      </c>
      <c r="D6" s="6" t="s">
        <v>857</v>
      </c>
    </row>
    <row r="7" spans="1:10" ht="12.75">
      <c r="A7" s="6">
        <v>1</v>
      </c>
      <c r="B7" s="6">
        <v>2</v>
      </c>
      <c r="C7" s="6">
        <v>3</v>
      </c>
      <c r="D7" s="6">
        <v>4</v>
      </c>
      <c r="J7" s="56"/>
    </row>
    <row r="8" spans="1:5" ht="25.5">
      <c r="A8" s="78" t="s">
        <v>525</v>
      </c>
      <c r="B8" s="8" t="s">
        <v>101</v>
      </c>
      <c r="C8" s="362">
        <f>C9+C14</f>
        <v>0</v>
      </c>
      <c r="D8" s="362">
        <f>D9+D14</f>
        <v>19224870.379999995</v>
      </c>
      <c r="E8" s="14"/>
    </row>
    <row r="9" spans="1:5" ht="25.5">
      <c r="A9" s="7" t="s">
        <v>102</v>
      </c>
      <c r="B9" s="2" t="s">
        <v>179</v>
      </c>
      <c r="C9" s="36">
        <f>C10+C12</f>
        <v>0</v>
      </c>
      <c r="D9" s="36">
        <f>D10+D12</f>
        <v>0</v>
      </c>
      <c r="E9" s="14"/>
    </row>
    <row r="10" spans="1:5" ht="38.25">
      <c r="A10" s="84" t="s">
        <v>159</v>
      </c>
      <c r="B10" s="85" t="s">
        <v>327</v>
      </c>
      <c r="C10" s="36">
        <f>C11</f>
        <v>14643000</v>
      </c>
      <c r="D10" s="36">
        <f>D11</f>
        <v>14786000</v>
      </c>
      <c r="E10" s="14"/>
    </row>
    <row r="11" spans="1:5" ht="38.25">
      <c r="A11" s="84" t="s">
        <v>160</v>
      </c>
      <c r="B11" s="85" t="s">
        <v>328</v>
      </c>
      <c r="C11" s="384">
        <v>14643000</v>
      </c>
      <c r="D11" s="384">
        <v>14786000</v>
      </c>
      <c r="E11" s="14"/>
    </row>
    <row r="12" spans="1:5" ht="38.25">
      <c r="A12" s="7" t="s">
        <v>161</v>
      </c>
      <c r="B12" s="2" t="s">
        <v>177</v>
      </c>
      <c r="C12" s="385">
        <f>C13</f>
        <v>-14643000</v>
      </c>
      <c r="D12" s="385">
        <f>D13</f>
        <v>-14786000</v>
      </c>
      <c r="E12" s="14"/>
    </row>
    <row r="13" spans="1:5" ht="38.25">
      <c r="A13" s="7" t="s">
        <v>162</v>
      </c>
      <c r="B13" s="2" t="s">
        <v>178</v>
      </c>
      <c r="C13" s="386">
        <v>-14643000</v>
      </c>
      <c r="D13" s="386">
        <v>-14786000</v>
      </c>
      <c r="E13" s="14"/>
    </row>
    <row r="14" spans="1:5" ht="25.5">
      <c r="A14" s="7" t="s">
        <v>235</v>
      </c>
      <c r="B14" s="9" t="s">
        <v>552</v>
      </c>
      <c r="C14" s="387">
        <f>C15+C19</f>
        <v>0</v>
      </c>
      <c r="D14" s="371">
        <f>D15+D19</f>
        <v>19224870.379999995</v>
      </c>
      <c r="E14" s="14"/>
    </row>
    <row r="15" spans="1:5" ht="12.75">
      <c r="A15" s="7" t="s">
        <v>236</v>
      </c>
      <c r="B15" s="9" t="s">
        <v>237</v>
      </c>
      <c r="C15" s="387">
        <f aca="true" t="shared" si="0" ref="C15:D17">C16</f>
        <v>-497999646</v>
      </c>
      <c r="D15" s="371">
        <f t="shared" si="0"/>
        <v>-439602988</v>
      </c>
      <c r="E15" s="14"/>
    </row>
    <row r="16" spans="1:5" ht="12.75">
      <c r="A16" s="7" t="s">
        <v>238</v>
      </c>
      <c r="B16" s="9" t="s">
        <v>239</v>
      </c>
      <c r="C16" s="387">
        <f t="shared" si="0"/>
        <v>-497999646</v>
      </c>
      <c r="D16" s="371">
        <f t="shared" si="0"/>
        <v>-439602988</v>
      </c>
      <c r="E16" s="14"/>
    </row>
    <row r="17" spans="1:5" ht="25.5">
      <c r="A17" s="7" t="s">
        <v>553</v>
      </c>
      <c r="B17" s="9" t="s">
        <v>240</v>
      </c>
      <c r="C17" s="387">
        <f t="shared" si="0"/>
        <v>-497999646</v>
      </c>
      <c r="D17" s="371">
        <f t="shared" si="0"/>
        <v>-439602988</v>
      </c>
      <c r="E17" s="14"/>
    </row>
    <row r="18" spans="1:5" ht="25.5">
      <c r="A18" s="7" t="s">
        <v>241</v>
      </c>
      <c r="B18" s="9" t="s">
        <v>242</v>
      </c>
      <c r="C18" s="388">
        <v>-497999646</v>
      </c>
      <c r="D18" s="446">
        <f>-424816988+(-14786000)</f>
        <v>-439602988</v>
      </c>
      <c r="E18" s="14"/>
    </row>
    <row r="19" spans="1:5" ht="12.75">
      <c r="A19" s="7" t="s">
        <v>613</v>
      </c>
      <c r="B19" s="9" t="s">
        <v>554</v>
      </c>
      <c r="C19" s="387">
        <f aca="true" t="shared" si="1" ref="C19:D21">C20</f>
        <v>497999646</v>
      </c>
      <c r="D19" s="371">
        <f t="shared" si="1"/>
        <v>458827858.38</v>
      </c>
      <c r="E19" s="14"/>
    </row>
    <row r="20" spans="1:5" ht="12.75">
      <c r="A20" s="7" t="s">
        <v>614</v>
      </c>
      <c r="B20" s="9" t="s">
        <v>615</v>
      </c>
      <c r="C20" s="387">
        <f t="shared" si="1"/>
        <v>497999646</v>
      </c>
      <c r="D20" s="371">
        <f t="shared" si="1"/>
        <v>458827858.38</v>
      </c>
      <c r="E20" s="14"/>
    </row>
    <row r="21" spans="1:5" ht="25.5">
      <c r="A21" s="7" t="s">
        <v>616</v>
      </c>
      <c r="B21" s="9" t="s">
        <v>617</v>
      </c>
      <c r="C21" s="387">
        <f t="shared" si="1"/>
        <v>497999646</v>
      </c>
      <c r="D21" s="371">
        <f t="shared" si="1"/>
        <v>458827858.38</v>
      </c>
      <c r="E21" s="14"/>
    </row>
    <row r="22" spans="1:5" ht="25.5">
      <c r="A22" s="86" t="s">
        <v>618</v>
      </c>
      <c r="B22" s="87" t="s">
        <v>619</v>
      </c>
      <c r="C22" s="389">
        <v>497999646</v>
      </c>
      <c r="D22" s="374">
        <f>444041858.38+14786000</f>
        <v>458827858.38</v>
      </c>
      <c r="E22" s="14"/>
    </row>
    <row r="23" ht="12.75">
      <c r="C23" s="15"/>
    </row>
  </sheetData>
  <sheetProtection/>
  <mergeCells count="2">
    <mergeCell ref="A4:C4"/>
    <mergeCell ref="C3:D3"/>
  </mergeCells>
  <printOptions/>
  <pageMargins left="0.7874015748031497" right="0.3937007874015748" top="0.5905511811023623" bottom="0.3937007874015748" header="0.5118110236220472" footer="0.31496062992125984"/>
  <pageSetup fitToHeight="0" fitToWidth="1" horizontalDpi="300" verticalDpi="3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7C80"/>
    <pageSetUpPr fitToPage="1"/>
  </sheetPr>
  <dimension ref="A1:D199"/>
  <sheetViews>
    <sheetView showGridLines="0" view="pageBreakPreview" zoomScaleSheetLayoutView="100" zoomScalePageLayoutView="0" workbookViewId="0" topLeftCell="A1">
      <selection activeCell="A4" sqref="A4:C4"/>
    </sheetView>
  </sheetViews>
  <sheetFormatPr defaultColWidth="9.140625" defaultRowHeight="12.75"/>
  <cols>
    <col min="1" max="1" width="21.28125" style="1" customWidth="1"/>
    <col min="2" max="2" width="55.57421875" style="1" customWidth="1"/>
    <col min="3" max="3" width="15.140625" style="474" customWidth="1"/>
    <col min="4" max="4" width="8.57421875" style="1" bestFit="1" customWidth="1"/>
    <col min="5" max="16384" width="9.140625" style="1" customWidth="1"/>
  </cols>
  <sheetData>
    <row r="1" spans="1:3" ht="12.75">
      <c r="A1" s="510" t="s">
        <v>688</v>
      </c>
      <c r="B1" s="510"/>
      <c r="C1" s="510"/>
    </row>
    <row r="2" spans="1:3" ht="12.75">
      <c r="A2" s="510" t="s">
        <v>247</v>
      </c>
      <c r="B2" s="510"/>
      <c r="C2" s="510"/>
    </row>
    <row r="3" spans="1:3" ht="12.75">
      <c r="A3" s="508" t="s">
        <v>984</v>
      </c>
      <c r="B3" s="508"/>
      <c r="C3" s="508"/>
    </row>
    <row r="4" spans="1:3" ht="12.75">
      <c r="A4" s="511" t="s">
        <v>839</v>
      </c>
      <c r="B4" s="511"/>
      <c r="C4" s="511"/>
    </row>
    <row r="5" spans="1:3" ht="12.75">
      <c r="A5" s="42"/>
      <c r="B5" s="331"/>
      <c r="C5" s="452" t="s">
        <v>689</v>
      </c>
    </row>
    <row r="6" spans="1:3" ht="33.75">
      <c r="A6" s="270" t="s">
        <v>690</v>
      </c>
      <c r="B6" s="271" t="s">
        <v>69</v>
      </c>
      <c r="C6" s="453" t="s">
        <v>513</v>
      </c>
    </row>
    <row r="7" spans="1:3" ht="12.75">
      <c r="A7" s="272" t="s">
        <v>70</v>
      </c>
      <c r="B7" s="273">
        <v>2</v>
      </c>
      <c r="C7" s="454" t="s">
        <v>71</v>
      </c>
    </row>
    <row r="8" spans="1:4" ht="12.75">
      <c r="A8" s="274"/>
      <c r="B8" s="275" t="s">
        <v>514</v>
      </c>
      <c r="C8" s="455">
        <f>C9+C120</f>
        <v>728378708.0899999</v>
      </c>
      <c r="D8" s="333"/>
    </row>
    <row r="9" spans="1:4" ht="12.75">
      <c r="A9" s="276" t="s">
        <v>691</v>
      </c>
      <c r="B9" s="277" t="s">
        <v>692</v>
      </c>
      <c r="C9" s="456">
        <f>C10+C26+C38+C46+C55+C66+C72+C79+C86+C16+C117+C51</f>
        <v>133359654</v>
      </c>
      <c r="D9" s="333"/>
    </row>
    <row r="10" spans="1:3" ht="12.75">
      <c r="A10" s="278" t="s">
        <v>693</v>
      </c>
      <c r="B10" s="279" t="s">
        <v>699</v>
      </c>
      <c r="C10" s="457">
        <f>C11</f>
        <v>90410226</v>
      </c>
    </row>
    <row r="11" spans="1:3" ht="12.75">
      <c r="A11" s="278" t="s">
        <v>700</v>
      </c>
      <c r="B11" s="279" t="s">
        <v>701</v>
      </c>
      <c r="C11" s="457">
        <f>SUM(C12:C15)</f>
        <v>90410226</v>
      </c>
    </row>
    <row r="12" spans="1:4" ht="63.75">
      <c r="A12" s="280" t="s">
        <v>702</v>
      </c>
      <c r="B12" s="269" t="s">
        <v>719</v>
      </c>
      <c r="C12" s="458">
        <f>83622219+1440270</f>
        <v>85062489</v>
      </c>
      <c r="D12" s="401"/>
    </row>
    <row r="13" spans="1:4" ht="91.5" customHeight="1">
      <c r="A13" s="280" t="s">
        <v>703</v>
      </c>
      <c r="B13" s="269" t="s">
        <v>732</v>
      </c>
      <c r="C13" s="458">
        <v>351435</v>
      </c>
      <c r="D13" s="401"/>
    </row>
    <row r="14" spans="1:4" ht="38.25">
      <c r="A14" s="280" t="s">
        <v>704</v>
      </c>
      <c r="B14" s="281" t="s">
        <v>705</v>
      </c>
      <c r="C14" s="458">
        <v>805967</v>
      </c>
      <c r="D14" s="401"/>
    </row>
    <row r="15" spans="1:4" ht="89.25">
      <c r="A15" s="280" t="s">
        <v>781</v>
      </c>
      <c r="B15" s="281" t="s">
        <v>782</v>
      </c>
      <c r="C15" s="458">
        <v>4190335</v>
      </c>
      <c r="D15" s="401"/>
    </row>
    <row r="16" spans="1:3" ht="25.5">
      <c r="A16" s="278" t="s">
        <v>706</v>
      </c>
      <c r="B16" s="279" t="s">
        <v>463</v>
      </c>
      <c r="C16" s="457">
        <f>C17</f>
        <v>2924170</v>
      </c>
    </row>
    <row r="17" spans="1:4" ht="25.5">
      <c r="A17" s="280" t="s">
        <v>771</v>
      </c>
      <c r="B17" s="334" t="s">
        <v>770</v>
      </c>
      <c r="C17" s="458">
        <f>C18+C20+C22+C24</f>
        <v>2924170</v>
      </c>
      <c r="D17" s="335"/>
    </row>
    <row r="18" spans="1:3" ht="63.75">
      <c r="A18" s="280" t="s">
        <v>464</v>
      </c>
      <c r="B18" s="315" t="s">
        <v>769</v>
      </c>
      <c r="C18" s="458">
        <f>C19</f>
        <v>1322110</v>
      </c>
    </row>
    <row r="19" spans="1:3" ht="91.5" customHeight="1">
      <c r="A19" s="280" t="s">
        <v>326</v>
      </c>
      <c r="B19" s="315" t="s">
        <v>419</v>
      </c>
      <c r="C19" s="458">
        <v>1322110</v>
      </c>
    </row>
    <row r="20" spans="1:3" ht="76.5">
      <c r="A20" s="280" t="s">
        <v>465</v>
      </c>
      <c r="B20" s="336" t="s">
        <v>733</v>
      </c>
      <c r="C20" s="458">
        <f>C21</f>
        <v>7310</v>
      </c>
    </row>
    <row r="21" spans="1:3" ht="105.75" customHeight="1">
      <c r="A21" s="280" t="s">
        <v>377</v>
      </c>
      <c r="B21" s="337" t="s">
        <v>420</v>
      </c>
      <c r="C21" s="458">
        <v>7310</v>
      </c>
    </row>
    <row r="22" spans="1:3" ht="63.75">
      <c r="A22" s="280" t="s">
        <v>418</v>
      </c>
      <c r="B22" s="269" t="s">
        <v>768</v>
      </c>
      <c r="C22" s="458">
        <f>C23</f>
        <v>1760530</v>
      </c>
    </row>
    <row r="23" spans="1:3" ht="102">
      <c r="A23" s="280" t="s">
        <v>378</v>
      </c>
      <c r="B23" s="338" t="s">
        <v>421</v>
      </c>
      <c r="C23" s="458">
        <v>1760530</v>
      </c>
    </row>
    <row r="24" spans="1:3" ht="63.75">
      <c r="A24" s="280" t="s">
        <v>180</v>
      </c>
      <c r="B24" s="281" t="s">
        <v>181</v>
      </c>
      <c r="C24" s="458">
        <f>C25</f>
        <v>-165780</v>
      </c>
    </row>
    <row r="25" spans="1:3" ht="102">
      <c r="A25" s="280" t="s">
        <v>176</v>
      </c>
      <c r="B25" s="281" t="s">
        <v>422</v>
      </c>
      <c r="C25" s="458">
        <v>-165780</v>
      </c>
    </row>
    <row r="26" spans="1:3" ht="12.75">
      <c r="A26" s="278" t="s">
        <v>182</v>
      </c>
      <c r="B26" s="279" t="s">
        <v>183</v>
      </c>
      <c r="C26" s="457">
        <f>C27+C32+C34+C36</f>
        <v>8207384</v>
      </c>
    </row>
    <row r="27" spans="1:3" ht="25.5">
      <c r="A27" s="280" t="s">
        <v>184</v>
      </c>
      <c r="B27" s="281" t="s">
        <v>185</v>
      </c>
      <c r="C27" s="459">
        <f>C28+C30</f>
        <v>3610410</v>
      </c>
    </row>
    <row r="28" spans="1:3" ht="25.5">
      <c r="A28" s="280" t="s">
        <v>186</v>
      </c>
      <c r="B28" s="281" t="s">
        <v>187</v>
      </c>
      <c r="C28" s="459">
        <f>C29</f>
        <v>1154800</v>
      </c>
    </row>
    <row r="29" spans="1:3" ht="25.5">
      <c r="A29" s="280" t="s">
        <v>188</v>
      </c>
      <c r="B29" s="281" t="s">
        <v>187</v>
      </c>
      <c r="C29" s="458">
        <f>1153107+1693</f>
        <v>1154800</v>
      </c>
    </row>
    <row r="30" spans="1:3" ht="38.25">
      <c r="A30" s="280" t="s">
        <v>189</v>
      </c>
      <c r="B30" s="281" t="s">
        <v>220</v>
      </c>
      <c r="C30" s="459">
        <f>C31</f>
        <v>2455610</v>
      </c>
    </row>
    <row r="31" spans="1:3" ht="51">
      <c r="A31" s="280" t="s">
        <v>221</v>
      </c>
      <c r="B31" s="281" t="s">
        <v>222</v>
      </c>
      <c r="C31" s="458">
        <f>2316951+13400-1693+126952</f>
        <v>2455610</v>
      </c>
    </row>
    <row r="32" spans="1:3" ht="25.5">
      <c r="A32" s="280" t="s">
        <v>223</v>
      </c>
      <c r="B32" s="281" t="s">
        <v>379</v>
      </c>
      <c r="C32" s="459">
        <f>C33</f>
        <v>4589</v>
      </c>
    </row>
    <row r="33" spans="1:3" ht="25.5">
      <c r="A33" s="280" t="s">
        <v>380</v>
      </c>
      <c r="B33" s="281" t="s">
        <v>379</v>
      </c>
      <c r="C33" s="458">
        <v>4589</v>
      </c>
    </row>
    <row r="34" spans="1:3" ht="12.75">
      <c r="A34" s="280" t="s">
        <v>381</v>
      </c>
      <c r="B34" s="281" t="s">
        <v>382</v>
      </c>
      <c r="C34" s="459">
        <f>SUM(C35:C35)</f>
        <v>886385</v>
      </c>
    </row>
    <row r="35" spans="1:3" ht="12.75">
      <c r="A35" s="280" t="s">
        <v>584</v>
      </c>
      <c r="B35" s="281" t="s">
        <v>585</v>
      </c>
      <c r="C35" s="458">
        <v>886385</v>
      </c>
    </row>
    <row r="36" spans="1:3" ht="25.5">
      <c r="A36" s="280" t="s">
        <v>520</v>
      </c>
      <c r="B36" s="281" t="s">
        <v>521</v>
      </c>
      <c r="C36" s="458">
        <f>C37</f>
        <v>3706000</v>
      </c>
    </row>
    <row r="37" spans="1:3" ht="25.5" customHeight="1">
      <c r="A37" s="280" t="s">
        <v>522</v>
      </c>
      <c r="B37" s="281" t="s">
        <v>523</v>
      </c>
      <c r="C37" s="458">
        <v>3706000</v>
      </c>
    </row>
    <row r="38" spans="1:3" ht="12.75">
      <c r="A38" s="278" t="s">
        <v>586</v>
      </c>
      <c r="B38" s="279" t="s">
        <v>587</v>
      </c>
      <c r="C38" s="457">
        <f>C39+C41</f>
        <v>15122855</v>
      </c>
    </row>
    <row r="39" spans="1:3" ht="12.75">
      <c r="A39" s="280" t="s">
        <v>588</v>
      </c>
      <c r="B39" s="281" t="s">
        <v>589</v>
      </c>
      <c r="C39" s="459">
        <f>C40</f>
        <v>4584028</v>
      </c>
    </row>
    <row r="40" spans="1:3" ht="38.25">
      <c r="A40" s="280" t="s">
        <v>590</v>
      </c>
      <c r="B40" s="281" t="s">
        <v>390</v>
      </c>
      <c r="C40" s="458">
        <v>4584028</v>
      </c>
    </row>
    <row r="41" spans="1:3" ht="12.75">
      <c r="A41" s="280" t="s">
        <v>391</v>
      </c>
      <c r="B41" s="281" t="s">
        <v>392</v>
      </c>
      <c r="C41" s="460">
        <f>C42+C44</f>
        <v>10538827</v>
      </c>
    </row>
    <row r="42" spans="1:3" ht="12.75">
      <c r="A42" s="280" t="s">
        <v>393</v>
      </c>
      <c r="B42" s="281" t="s">
        <v>394</v>
      </c>
      <c r="C42" s="459">
        <f>C43</f>
        <v>7259355</v>
      </c>
    </row>
    <row r="43" spans="1:3" ht="25.5">
      <c r="A43" s="280" t="s">
        <v>395</v>
      </c>
      <c r="B43" s="281" t="s">
        <v>396</v>
      </c>
      <c r="C43" s="458">
        <v>7259355</v>
      </c>
    </row>
    <row r="44" spans="1:3" ht="12.75">
      <c r="A44" s="280" t="s">
        <v>397</v>
      </c>
      <c r="B44" s="281" t="s">
        <v>398</v>
      </c>
      <c r="C44" s="459">
        <f>C45</f>
        <v>3279472</v>
      </c>
    </row>
    <row r="45" spans="1:3" ht="29.25" customHeight="1">
      <c r="A45" s="280" t="s">
        <v>399</v>
      </c>
      <c r="B45" s="281" t="s">
        <v>400</v>
      </c>
      <c r="C45" s="458">
        <v>3279472</v>
      </c>
    </row>
    <row r="46" spans="1:3" ht="12.75">
      <c r="A46" s="278" t="s">
        <v>401</v>
      </c>
      <c r="B46" s="279" t="s">
        <v>402</v>
      </c>
      <c r="C46" s="457">
        <f>C47+C49</f>
        <v>3311745</v>
      </c>
    </row>
    <row r="47" spans="1:3" ht="25.5">
      <c r="A47" s="280" t="s">
        <v>403</v>
      </c>
      <c r="B47" s="281" t="s">
        <v>404</v>
      </c>
      <c r="C47" s="459">
        <f>C48</f>
        <v>3301745</v>
      </c>
    </row>
    <row r="48" spans="1:3" ht="38.25">
      <c r="A48" s="280" t="s">
        <v>405</v>
      </c>
      <c r="B48" s="281" t="s">
        <v>406</v>
      </c>
      <c r="C48" s="458">
        <v>3301745</v>
      </c>
    </row>
    <row r="49" spans="1:3" ht="27" customHeight="1">
      <c r="A49" s="280" t="s">
        <v>783</v>
      </c>
      <c r="B49" s="281" t="s">
        <v>784</v>
      </c>
      <c r="C49" s="458">
        <f>C50</f>
        <v>10000</v>
      </c>
    </row>
    <row r="50" spans="1:3" ht="25.5">
      <c r="A50" s="280" t="s">
        <v>154</v>
      </c>
      <c r="B50" s="281" t="s">
        <v>155</v>
      </c>
      <c r="C50" s="458">
        <v>10000</v>
      </c>
    </row>
    <row r="51" spans="1:3" ht="38.25" hidden="1">
      <c r="A51" s="278" t="s">
        <v>972</v>
      </c>
      <c r="B51" s="279" t="s">
        <v>973</v>
      </c>
      <c r="C51" s="457">
        <f>C52</f>
        <v>0</v>
      </c>
    </row>
    <row r="52" spans="1:3" ht="12.75" hidden="1">
      <c r="A52" s="280" t="s">
        <v>974</v>
      </c>
      <c r="B52" s="281" t="s">
        <v>975</v>
      </c>
      <c r="C52" s="458">
        <f>C54</f>
        <v>0</v>
      </c>
    </row>
    <row r="53" spans="1:3" ht="25.5" hidden="1">
      <c r="A53" s="280" t="s">
        <v>976</v>
      </c>
      <c r="B53" s="281" t="s">
        <v>977</v>
      </c>
      <c r="C53" s="458">
        <f>C54</f>
        <v>0</v>
      </c>
    </row>
    <row r="54" spans="1:3" ht="38.25" hidden="1">
      <c r="A54" s="280" t="s">
        <v>978</v>
      </c>
      <c r="B54" s="281" t="s">
        <v>979</v>
      </c>
      <c r="C54" s="458"/>
    </row>
    <row r="55" spans="1:3" ht="38.25">
      <c r="A55" s="278" t="s">
        <v>407</v>
      </c>
      <c r="B55" s="279" t="s">
        <v>408</v>
      </c>
      <c r="C55" s="457">
        <f>C56+C61+C63</f>
        <v>3223777</v>
      </c>
    </row>
    <row r="56" spans="1:3" ht="76.5">
      <c r="A56" s="280" t="s">
        <v>409</v>
      </c>
      <c r="B56" s="269" t="s">
        <v>734</v>
      </c>
      <c r="C56" s="459">
        <f>C57+C59</f>
        <v>2808687</v>
      </c>
    </row>
    <row r="57" spans="1:3" ht="55.5" customHeight="1">
      <c r="A57" s="280" t="s">
        <v>410</v>
      </c>
      <c r="B57" s="281" t="s">
        <v>260</v>
      </c>
      <c r="C57" s="459">
        <f>C58</f>
        <v>1698674</v>
      </c>
    </row>
    <row r="58" spans="1:3" ht="63.75">
      <c r="A58" s="280" t="s">
        <v>572</v>
      </c>
      <c r="B58" s="281" t="s">
        <v>383</v>
      </c>
      <c r="C58" s="458">
        <f>1698999-325</f>
        <v>1698674</v>
      </c>
    </row>
    <row r="59" spans="1:3" ht="38.25">
      <c r="A59" s="280" t="s">
        <v>573</v>
      </c>
      <c r="B59" s="281" t="s">
        <v>353</v>
      </c>
      <c r="C59" s="459">
        <f>C60</f>
        <v>1110013</v>
      </c>
    </row>
    <row r="60" spans="1:3" ht="30" customHeight="1">
      <c r="A60" s="280" t="s">
        <v>354</v>
      </c>
      <c r="B60" s="281" t="s">
        <v>415</v>
      </c>
      <c r="C60" s="458">
        <f>1110013</f>
        <v>1110013</v>
      </c>
    </row>
    <row r="61" spans="1:3" ht="25.5">
      <c r="A61" s="280" t="s">
        <v>416</v>
      </c>
      <c r="B61" s="281" t="s">
        <v>622</v>
      </c>
      <c r="C61" s="459">
        <f>C62</f>
        <v>26400</v>
      </c>
    </row>
    <row r="62" spans="1:3" ht="44.25" customHeight="1">
      <c r="A62" s="280" t="s">
        <v>623</v>
      </c>
      <c r="B62" s="281" t="s">
        <v>624</v>
      </c>
      <c r="C62" s="458">
        <v>26400</v>
      </c>
    </row>
    <row r="63" spans="1:3" ht="76.5">
      <c r="A63" s="280" t="s">
        <v>625</v>
      </c>
      <c r="B63" s="269" t="s">
        <v>339</v>
      </c>
      <c r="C63" s="459">
        <f>C64</f>
        <v>388690</v>
      </c>
    </row>
    <row r="64" spans="1:3" ht="76.5">
      <c r="A64" s="280" t="s">
        <v>626</v>
      </c>
      <c r="B64" s="269" t="s">
        <v>340</v>
      </c>
      <c r="C64" s="459">
        <f>C65</f>
        <v>388690</v>
      </c>
    </row>
    <row r="65" spans="1:3" ht="65.25" customHeight="1">
      <c r="A65" s="280" t="s">
        <v>627</v>
      </c>
      <c r="B65" s="281" t="s">
        <v>628</v>
      </c>
      <c r="C65" s="458">
        <v>388690</v>
      </c>
    </row>
    <row r="66" spans="1:3" ht="25.5">
      <c r="A66" s="278" t="s">
        <v>629</v>
      </c>
      <c r="B66" s="279" t="s">
        <v>630</v>
      </c>
      <c r="C66" s="457">
        <f>C67</f>
        <v>34667</v>
      </c>
    </row>
    <row r="67" spans="1:3" ht="12.75">
      <c r="A67" s="280" t="s">
        <v>631</v>
      </c>
      <c r="B67" s="43" t="s">
        <v>632</v>
      </c>
      <c r="C67" s="459">
        <f>SUM(C68:C70)</f>
        <v>34667</v>
      </c>
    </row>
    <row r="68" spans="1:3" ht="25.5">
      <c r="A68" s="280" t="s">
        <v>633</v>
      </c>
      <c r="B68" s="43" t="s">
        <v>578</v>
      </c>
      <c r="C68" s="458">
        <v>34667</v>
      </c>
    </row>
    <row r="69" spans="1:3" ht="12.75">
      <c r="A69" s="280" t="s">
        <v>579</v>
      </c>
      <c r="B69" s="43" t="s">
        <v>580</v>
      </c>
      <c r="C69" s="458"/>
    </row>
    <row r="70" spans="1:3" ht="12.75">
      <c r="A70" s="280" t="s">
        <v>785</v>
      </c>
      <c r="B70" s="43" t="s">
        <v>786</v>
      </c>
      <c r="C70" s="458">
        <f>C71</f>
        <v>0</v>
      </c>
    </row>
    <row r="71" spans="1:3" ht="12.75">
      <c r="A71" s="280" t="s">
        <v>787</v>
      </c>
      <c r="B71" s="43" t="s">
        <v>788</v>
      </c>
      <c r="C71" s="458"/>
    </row>
    <row r="72" spans="1:3" ht="25.5">
      <c r="A72" s="278" t="s">
        <v>581</v>
      </c>
      <c r="B72" s="279" t="s">
        <v>545</v>
      </c>
      <c r="C72" s="457">
        <f>C74+C76</f>
        <v>9156325</v>
      </c>
    </row>
    <row r="73" spans="1:3" ht="12.75">
      <c r="A73" s="280" t="s">
        <v>767</v>
      </c>
      <c r="B73" s="1" t="s">
        <v>766</v>
      </c>
      <c r="C73" s="458">
        <f>C74</f>
        <v>9155225</v>
      </c>
    </row>
    <row r="74" spans="1:3" ht="12.75">
      <c r="A74" s="280" t="s">
        <v>582</v>
      </c>
      <c r="B74" s="1" t="s">
        <v>789</v>
      </c>
      <c r="C74" s="459">
        <f>C75</f>
        <v>9155225</v>
      </c>
    </row>
    <row r="75" spans="1:3" ht="25.5">
      <c r="A75" s="280" t="s">
        <v>190</v>
      </c>
      <c r="B75" s="43" t="s">
        <v>583</v>
      </c>
      <c r="C75" s="458">
        <f>9154900+325</f>
        <v>9155225</v>
      </c>
    </row>
    <row r="76" spans="1:3" ht="12.75">
      <c r="A76" s="280" t="s">
        <v>937</v>
      </c>
      <c r="B76" s="43" t="s">
        <v>938</v>
      </c>
      <c r="C76" s="458">
        <f>C77</f>
        <v>1100</v>
      </c>
    </row>
    <row r="77" spans="1:3" ht="12.75">
      <c r="A77" s="280" t="s">
        <v>939</v>
      </c>
      <c r="B77" s="43" t="s">
        <v>940</v>
      </c>
      <c r="C77" s="458">
        <f>C78</f>
        <v>1100</v>
      </c>
    </row>
    <row r="78" spans="1:3" ht="25.5">
      <c r="A78" s="280" t="s">
        <v>941</v>
      </c>
      <c r="B78" s="43" t="s">
        <v>942</v>
      </c>
      <c r="C78" s="458">
        <v>1100</v>
      </c>
    </row>
    <row r="79" spans="1:4" ht="25.5">
      <c r="A79" s="278" t="s">
        <v>191</v>
      </c>
      <c r="B79" s="317" t="s">
        <v>192</v>
      </c>
      <c r="C79" s="457">
        <f>C83+C80</f>
        <v>623332</v>
      </c>
      <c r="D79" s="333"/>
    </row>
    <row r="80" spans="1:4" ht="76.5">
      <c r="A80" s="339" t="s">
        <v>790</v>
      </c>
      <c r="B80" s="43" t="s">
        <v>791</v>
      </c>
      <c r="C80" s="459">
        <f>C81</f>
        <v>287240</v>
      </c>
      <c r="D80" s="333"/>
    </row>
    <row r="81" spans="1:4" ht="89.25">
      <c r="A81" s="280" t="s">
        <v>792</v>
      </c>
      <c r="B81" s="43" t="s">
        <v>793</v>
      </c>
      <c r="C81" s="459">
        <f>C82</f>
        <v>287240</v>
      </c>
      <c r="D81" s="333"/>
    </row>
    <row r="82" spans="1:4" ht="76.5">
      <c r="A82" s="280" t="s">
        <v>4</v>
      </c>
      <c r="B82" s="43" t="s">
        <v>794</v>
      </c>
      <c r="C82" s="458">
        <v>287240</v>
      </c>
      <c r="D82" s="333"/>
    </row>
    <row r="83" spans="1:4" ht="25.5">
      <c r="A83" s="339" t="s">
        <v>193</v>
      </c>
      <c r="B83" s="43" t="s">
        <v>194</v>
      </c>
      <c r="C83" s="459">
        <f>C84</f>
        <v>336092</v>
      </c>
      <c r="D83" s="333"/>
    </row>
    <row r="84" spans="1:4" ht="25.5">
      <c r="A84" s="280" t="s">
        <v>195</v>
      </c>
      <c r="B84" s="43" t="s">
        <v>196</v>
      </c>
      <c r="C84" s="459">
        <f>C85</f>
        <v>336092</v>
      </c>
      <c r="D84" s="333"/>
    </row>
    <row r="85" spans="1:4" ht="38.25">
      <c r="A85" s="280" t="s">
        <v>197</v>
      </c>
      <c r="B85" s="43" t="s">
        <v>170</v>
      </c>
      <c r="C85" s="458">
        <v>336092</v>
      </c>
      <c r="D85" s="333"/>
    </row>
    <row r="86" spans="1:4" ht="12.75">
      <c r="A86" s="316" t="s">
        <v>171</v>
      </c>
      <c r="B86" s="317" t="s">
        <v>319</v>
      </c>
      <c r="C86" s="457">
        <f>C87+C89+C93+C95+C97+C99+C101+C105+C107+C109+C112+C115+C91+C103</f>
        <v>345173</v>
      </c>
      <c r="D86" s="333"/>
    </row>
    <row r="87" spans="1:4" ht="51">
      <c r="A87" s="88" t="s">
        <v>765</v>
      </c>
      <c r="B87" s="318" t="s">
        <v>764</v>
      </c>
      <c r="C87" s="458">
        <f>C88</f>
        <v>6900</v>
      </c>
      <c r="D87" s="333"/>
    </row>
    <row r="88" spans="1:4" ht="76.5">
      <c r="A88" s="88" t="s">
        <v>641</v>
      </c>
      <c r="B88" s="283" t="s">
        <v>642</v>
      </c>
      <c r="C88" s="458">
        <v>6900</v>
      </c>
      <c r="D88" s="333"/>
    </row>
    <row r="89" spans="1:4" ht="63.75">
      <c r="A89" s="88" t="s">
        <v>763</v>
      </c>
      <c r="B89" s="319" t="s">
        <v>762</v>
      </c>
      <c r="C89" s="458">
        <f>C90</f>
        <v>14433</v>
      </c>
      <c r="D89" s="333"/>
    </row>
    <row r="90" spans="1:4" ht="89.25">
      <c r="A90" s="88" t="s">
        <v>643</v>
      </c>
      <c r="B90" s="283" t="s">
        <v>644</v>
      </c>
      <c r="C90" s="458">
        <f>28463-530-500-1000-12000</f>
        <v>14433</v>
      </c>
      <c r="D90" s="333"/>
    </row>
    <row r="91" spans="1:4" ht="51">
      <c r="A91" s="88" t="s">
        <v>931</v>
      </c>
      <c r="B91" s="283" t="s">
        <v>930</v>
      </c>
      <c r="C91" s="461">
        <f>C92</f>
        <v>530</v>
      </c>
      <c r="D91" s="333"/>
    </row>
    <row r="92" spans="1:4" ht="76.5">
      <c r="A92" s="88" t="s">
        <v>932</v>
      </c>
      <c r="B92" s="283" t="s">
        <v>933</v>
      </c>
      <c r="C92" s="461">
        <v>530</v>
      </c>
      <c r="D92" s="333"/>
    </row>
    <row r="93" spans="1:4" ht="51">
      <c r="A93" s="88" t="s">
        <v>795</v>
      </c>
      <c r="B93" s="283" t="s">
        <v>796</v>
      </c>
      <c r="C93" s="461">
        <f>C94</f>
        <v>4500</v>
      </c>
      <c r="D93" s="333"/>
    </row>
    <row r="94" spans="1:4" ht="76.5">
      <c r="A94" s="88" t="s">
        <v>797</v>
      </c>
      <c r="B94" s="283" t="s">
        <v>798</v>
      </c>
      <c r="C94" s="461">
        <f>2510+990+1000</f>
        <v>4500</v>
      </c>
      <c r="D94" s="333"/>
    </row>
    <row r="95" spans="1:4" ht="51">
      <c r="A95" s="88" t="s">
        <v>799</v>
      </c>
      <c r="B95" s="283" t="s">
        <v>800</v>
      </c>
      <c r="C95" s="461">
        <f>C96</f>
        <v>600</v>
      </c>
      <c r="D95" s="333"/>
    </row>
    <row r="96" spans="1:4" ht="76.5">
      <c r="A96" s="88" t="s">
        <v>801</v>
      </c>
      <c r="B96" s="283" t="s">
        <v>802</v>
      </c>
      <c r="C96" s="461">
        <f>1500-900</f>
        <v>600</v>
      </c>
      <c r="D96" s="333"/>
    </row>
    <row r="97" spans="1:4" ht="51">
      <c r="A97" s="88" t="s">
        <v>803</v>
      </c>
      <c r="B97" s="283" t="s">
        <v>804</v>
      </c>
      <c r="C97" s="461">
        <f>C98</f>
        <v>27000</v>
      </c>
      <c r="D97" s="333"/>
    </row>
    <row r="98" spans="1:4" ht="65.25" customHeight="1">
      <c r="A98" s="88" t="s">
        <v>805</v>
      </c>
      <c r="B98" s="283" t="s">
        <v>806</v>
      </c>
      <c r="C98" s="461">
        <f>24000+3000</f>
        <v>27000</v>
      </c>
      <c r="D98" s="333"/>
    </row>
    <row r="99" spans="1:4" ht="63.75">
      <c r="A99" s="88" t="s">
        <v>761</v>
      </c>
      <c r="B99" s="318" t="s">
        <v>760</v>
      </c>
      <c r="C99" s="461">
        <f>C100</f>
        <v>300</v>
      </c>
      <c r="D99" s="333"/>
    </row>
    <row r="100" spans="1:3" ht="89.25">
      <c r="A100" s="88" t="s">
        <v>634</v>
      </c>
      <c r="B100" s="285" t="s">
        <v>635</v>
      </c>
      <c r="C100" s="462">
        <f>15500-4500-3000-7700</f>
        <v>300</v>
      </c>
    </row>
    <row r="101" spans="1:3" ht="63.75">
      <c r="A101" s="88" t="s">
        <v>759</v>
      </c>
      <c r="B101" s="319" t="s">
        <v>758</v>
      </c>
      <c r="C101" s="462">
        <f>C102</f>
        <v>6536</v>
      </c>
    </row>
    <row r="102" spans="1:3" ht="102">
      <c r="A102" s="88" t="s">
        <v>636</v>
      </c>
      <c r="B102" s="284" t="s">
        <v>637</v>
      </c>
      <c r="C102" s="463">
        <v>6536</v>
      </c>
    </row>
    <row r="103" spans="1:3" ht="51">
      <c r="A103" s="88" t="s">
        <v>927</v>
      </c>
      <c r="B103" s="284" t="s">
        <v>928</v>
      </c>
      <c r="C103" s="463">
        <f>C104</f>
        <v>750</v>
      </c>
    </row>
    <row r="104" spans="1:3" ht="76.5">
      <c r="A104" s="88" t="s">
        <v>926</v>
      </c>
      <c r="B104" s="284" t="s">
        <v>929</v>
      </c>
      <c r="C104" s="463">
        <v>750</v>
      </c>
    </row>
    <row r="105" spans="1:3" ht="51">
      <c r="A105" s="88" t="s">
        <v>757</v>
      </c>
      <c r="B105" s="319" t="s">
        <v>756</v>
      </c>
      <c r="C105" s="463">
        <f>C106</f>
        <v>12000</v>
      </c>
    </row>
    <row r="106" spans="1:3" ht="76.5">
      <c r="A106" s="88" t="s">
        <v>638</v>
      </c>
      <c r="B106" s="283" t="s">
        <v>639</v>
      </c>
      <c r="C106" s="461">
        <f>22500-10500</f>
        <v>12000</v>
      </c>
    </row>
    <row r="107" spans="1:3" ht="63.75">
      <c r="A107" s="88" t="s">
        <v>755</v>
      </c>
      <c r="B107" s="318" t="s">
        <v>754</v>
      </c>
      <c r="C107" s="462">
        <f>C108</f>
        <v>135076</v>
      </c>
    </row>
    <row r="108" spans="1:3" ht="76.5">
      <c r="A108" s="88" t="s">
        <v>646</v>
      </c>
      <c r="B108" s="320" t="s">
        <v>647</v>
      </c>
      <c r="C108" s="464">
        <f>119994-12000+31627-45-4500</f>
        <v>135076</v>
      </c>
    </row>
    <row r="109" spans="1:3" ht="102">
      <c r="A109" s="88" t="s">
        <v>887</v>
      </c>
      <c r="B109" s="321" t="s">
        <v>753</v>
      </c>
      <c r="C109" s="462">
        <f>C110</f>
        <v>53500</v>
      </c>
    </row>
    <row r="110" spans="1:3" ht="76.5">
      <c r="A110" s="88" t="s">
        <v>752</v>
      </c>
      <c r="B110" s="66" t="s">
        <v>751</v>
      </c>
      <c r="C110" s="462">
        <f>C111</f>
        <v>53500</v>
      </c>
    </row>
    <row r="111" spans="1:3" ht="63.75">
      <c r="A111" s="88" t="s">
        <v>323</v>
      </c>
      <c r="B111" s="284" t="s">
        <v>324</v>
      </c>
      <c r="C111" s="464">
        <f>26500+27000</f>
        <v>53500</v>
      </c>
    </row>
    <row r="112" spans="1:3" ht="63.75">
      <c r="A112" s="88" t="s">
        <v>807</v>
      </c>
      <c r="B112" s="284" t="s">
        <v>808</v>
      </c>
      <c r="C112" s="462">
        <f>C113+C114</f>
        <v>24319</v>
      </c>
    </row>
    <row r="113" spans="1:3" ht="63.75" hidden="1">
      <c r="A113" s="88" t="s">
        <v>640</v>
      </c>
      <c r="B113" s="284" t="s">
        <v>809</v>
      </c>
      <c r="C113" s="462"/>
    </row>
    <row r="114" spans="1:3" ht="63.75">
      <c r="A114" s="88" t="s">
        <v>645</v>
      </c>
      <c r="B114" s="284" t="s">
        <v>810</v>
      </c>
      <c r="C114" s="462">
        <f>15719+8600</f>
        <v>24319</v>
      </c>
    </row>
    <row r="115" spans="1:3" ht="12.75">
      <c r="A115" s="88" t="s">
        <v>811</v>
      </c>
      <c r="B115" s="284" t="s">
        <v>812</v>
      </c>
      <c r="C115" s="462">
        <f>C116</f>
        <v>58729</v>
      </c>
    </row>
    <row r="116" spans="1:3" ht="91.5" customHeight="1">
      <c r="A116" s="88" t="s">
        <v>813</v>
      </c>
      <c r="B116" s="284" t="s">
        <v>814</v>
      </c>
      <c r="C116" s="465">
        <f>66024-7295</f>
        <v>58729</v>
      </c>
    </row>
    <row r="117" spans="1:3" ht="12.75" hidden="1">
      <c r="A117" s="316" t="s">
        <v>351</v>
      </c>
      <c r="B117" s="340" t="s">
        <v>352</v>
      </c>
      <c r="C117" s="462">
        <f>C118</f>
        <v>0</v>
      </c>
    </row>
    <row r="118" spans="1:3" ht="12.75" hidden="1">
      <c r="A118" s="341" t="s">
        <v>815</v>
      </c>
      <c r="B118" s="342" t="s">
        <v>816</v>
      </c>
      <c r="C118" s="462">
        <f>C119</f>
        <v>0</v>
      </c>
    </row>
    <row r="119" spans="1:3" ht="12.75" hidden="1">
      <c r="A119" s="341" t="s">
        <v>66</v>
      </c>
      <c r="B119" s="342" t="s">
        <v>67</v>
      </c>
      <c r="C119" s="462"/>
    </row>
    <row r="120" spans="1:3" ht="12.75">
      <c r="A120" s="286" t="s">
        <v>368</v>
      </c>
      <c r="B120" s="37" t="s">
        <v>344</v>
      </c>
      <c r="C120" s="466">
        <f>C121+C199+C195+C198</f>
        <v>595019054.0899999</v>
      </c>
    </row>
    <row r="121" spans="1:3" ht="25.5">
      <c r="A121" s="287" t="s">
        <v>369</v>
      </c>
      <c r="B121" s="38" t="s">
        <v>330</v>
      </c>
      <c r="C121" s="467">
        <f>C122+C129+C154+C194</f>
        <v>593460200.66</v>
      </c>
    </row>
    <row r="122" spans="1:3" ht="25.5">
      <c r="A122" s="287" t="s">
        <v>356</v>
      </c>
      <c r="B122" s="66" t="s">
        <v>384</v>
      </c>
      <c r="C122" s="467">
        <f>C123+C125+C127</f>
        <v>73799343</v>
      </c>
    </row>
    <row r="123" spans="1:3" ht="12.75">
      <c r="A123" s="39" t="s">
        <v>357</v>
      </c>
      <c r="B123" s="34" t="s">
        <v>475</v>
      </c>
      <c r="C123" s="468">
        <f>C124</f>
        <v>43970181</v>
      </c>
    </row>
    <row r="124" spans="1:3" ht="38.25">
      <c r="A124" s="39" t="s">
        <v>358</v>
      </c>
      <c r="B124" s="65" t="s">
        <v>476</v>
      </c>
      <c r="C124" s="469">
        <v>43970181</v>
      </c>
    </row>
    <row r="125" spans="1:3" ht="25.5">
      <c r="A125" s="39" t="s">
        <v>817</v>
      </c>
      <c r="B125" s="34" t="s">
        <v>818</v>
      </c>
      <c r="C125" s="468">
        <f>C126</f>
        <v>29829162</v>
      </c>
    </row>
    <row r="126" spans="1:3" ht="25.5">
      <c r="A126" s="39" t="s">
        <v>819</v>
      </c>
      <c r="B126" s="34" t="s">
        <v>820</v>
      </c>
      <c r="C126" s="468">
        <f>3670045+18517761+7641356</f>
        <v>29829162</v>
      </c>
    </row>
    <row r="127" spans="1:3" ht="12.75" hidden="1">
      <c r="A127" s="39" t="s">
        <v>821</v>
      </c>
      <c r="B127" s="34" t="s">
        <v>822</v>
      </c>
      <c r="C127" s="468">
        <f>C128</f>
        <v>0</v>
      </c>
    </row>
    <row r="128" spans="1:3" ht="12.75" hidden="1">
      <c r="A128" s="39" t="s">
        <v>823</v>
      </c>
      <c r="B128" s="34" t="s">
        <v>824</v>
      </c>
      <c r="C128" s="468"/>
    </row>
    <row r="129" spans="1:3" ht="25.5">
      <c r="A129" s="288" t="s">
        <v>543</v>
      </c>
      <c r="B129" s="284" t="s">
        <v>385</v>
      </c>
      <c r="C129" s="467">
        <f>C130+C132+C144+C148+C138+C142+C140+C134+C136+C146</f>
        <v>286195936.65999997</v>
      </c>
    </row>
    <row r="130" spans="1:3" ht="102">
      <c r="A130" s="88" t="s">
        <v>577</v>
      </c>
      <c r="B130" s="284" t="s">
        <v>333</v>
      </c>
      <c r="C130" s="469">
        <f>C131</f>
        <v>34979164.97</v>
      </c>
    </row>
    <row r="131" spans="1:3" ht="102">
      <c r="A131" s="282" t="s">
        <v>575</v>
      </c>
      <c r="B131" s="284" t="s">
        <v>576</v>
      </c>
      <c r="C131" s="469">
        <f>31409414.15+3569750.82</f>
        <v>34979164.97</v>
      </c>
    </row>
    <row r="132" spans="1:3" ht="76.5">
      <c r="A132" s="282" t="s">
        <v>334</v>
      </c>
      <c r="B132" s="284" t="s">
        <v>335</v>
      </c>
      <c r="C132" s="469">
        <f>C133</f>
        <v>18865327.73</v>
      </c>
    </row>
    <row r="133" spans="1:3" ht="76.5">
      <c r="A133" s="282" t="s">
        <v>389</v>
      </c>
      <c r="B133" s="284" t="s">
        <v>388</v>
      </c>
      <c r="C133" s="469">
        <f>6371534.65+12493793.08</f>
        <v>18865327.73</v>
      </c>
    </row>
    <row r="134" spans="1:3" ht="65.25" customHeight="1">
      <c r="A134" s="282" t="s">
        <v>141</v>
      </c>
      <c r="B134" s="284" t="s">
        <v>883</v>
      </c>
      <c r="C134" s="469">
        <f>C135</f>
        <v>3355086</v>
      </c>
    </row>
    <row r="135" spans="1:3" ht="63.75">
      <c r="A135" s="282" t="s">
        <v>142</v>
      </c>
      <c r="B135" s="284" t="s">
        <v>884</v>
      </c>
      <c r="C135" s="469">
        <v>3355086</v>
      </c>
    </row>
    <row r="136" spans="1:3" ht="39.75" customHeight="1">
      <c r="A136" s="282" t="s">
        <v>143</v>
      </c>
      <c r="B136" s="284" t="s">
        <v>885</v>
      </c>
      <c r="C136" s="469">
        <f>C137</f>
        <v>3795930</v>
      </c>
    </row>
    <row r="137" spans="1:3" ht="38.25">
      <c r="A137" s="282" t="s">
        <v>144</v>
      </c>
      <c r="B137" s="284" t="s">
        <v>886</v>
      </c>
      <c r="C137" s="469">
        <v>3795930</v>
      </c>
    </row>
    <row r="138" spans="1:3" ht="51">
      <c r="A138" s="88" t="s">
        <v>130</v>
      </c>
      <c r="B138" s="283" t="s">
        <v>131</v>
      </c>
      <c r="C138" s="469">
        <f>C139</f>
        <v>5484839</v>
      </c>
    </row>
    <row r="139" spans="1:3" ht="51">
      <c r="A139" s="88" t="s">
        <v>132</v>
      </c>
      <c r="B139" s="283" t="s">
        <v>133</v>
      </c>
      <c r="C139" s="469">
        <v>5484839</v>
      </c>
    </row>
    <row r="140" spans="1:3" ht="38.25" hidden="1">
      <c r="A140" s="88" t="s">
        <v>750</v>
      </c>
      <c r="B140" s="283" t="s">
        <v>749</v>
      </c>
      <c r="C140" s="469">
        <f>C141</f>
        <v>0</v>
      </c>
    </row>
    <row r="141" spans="1:3" ht="51" hidden="1">
      <c r="A141" s="88" t="s">
        <v>748</v>
      </c>
      <c r="B141" s="283" t="s">
        <v>747</v>
      </c>
      <c r="C141" s="469"/>
    </row>
    <row r="142" spans="1:3" ht="51" hidden="1">
      <c r="A142" s="88" t="s">
        <v>134</v>
      </c>
      <c r="B142" s="89" t="s">
        <v>135</v>
      </c>
      <c r="C142" s="469">
        <f>C143</f>
        <v>0</v>
      </c>
    </row>
    <row r="143" spans="1:3" ht="51" hidden="1">
      <c r="A143" s="88" t="s">
        <v>136</v>
      </c>
      <c r="B143" s="89" t="s">
        <v>137</v>
      </c>
      <c r="C143" s="469"/>
    </row>
    <row r="144" spans="1:3" ht="25.5">
      <c r="A144" s="282" t="s">
        <v>172</v>
      </c>
      <c r="B144" s="284" t="s">
        <v>173</v>
      </c>
      <c r="C144" s="470">
        <f>C145</f>
        <v>5213247.96</v>
      </c>
    </row>
    <row r="145" spans="1:3" ht="25.5">
      <c r="A145" s="282" t="s">
        <v>175</v>
      </c>
      <c r="B145" s="284" t="s">
        <v>174</v>
      </c>
      <c r="C145" s="471">
        <f>5255258-42010.04</f>
        <v>5213247.96</v>
      </c>
    </row>
    <row r="146" spans="1:3" ht="25.5">
      <c r="A146" s="282" t="s">
        <v>921</v>
      </c>
      <c r="B146" s="284" t="s">
        <v>923</v>
      </c>
      <c r="C146" s="471">
        <f>C147</f>
        <v>155896370</v>
      </c>
    </row>
    <row r="147" spans="1:3" ht="30" customHeight="1">
      <c r="A147" s="282" t="s">
        <v>920</v>
      </c>
      <c r="B147" s="284" t="s">
        <v>922</v>
      </c>
      <c r="C147" s="471">
        <v>155896370</v>
      </c>
    </row>
    <row r="148" spans="1:3" ht="12.75">
      <c r="A148" s="289" t="s">
        <v>544</v>
      </c>
      <c r="B148" s="290" t="s">
        <v>208</v>
      </c>
      <c r="C148" s="469">
        <f>SUM(C149:C153)</f>
        <v>58605971</v>
      </c>
    </row>
    <row r="149" spans="1:3" ht="67.5" customHeight="1">
      <c r="A149" s="289" t="s">
        <v>544</v>
      </c>
      <c r="B149" s="46" t="s">
        <v>209</v>
      </c>
      <c r="C149" s="469">
        <v>318065</v>
      </c>
    </row>
    <row r="150" spans="1:3" ht="51">
      <c r="A150" s="289" t="s">
        <v>544</v>
      </c>
      <c r="B150" s="289" t="s">
        <v>210</v>
      </c>
      <c r="C150" s="469">
        <v>993564</v>
      </c>
    </row>
    <row r="151" spans="1:3" ht="40.5" customHeight="1">
      <c r="A151" s="289" t="s">
        <v>544</v>
      </c>
      <c r="B151" s="343" t="s">
        <v>138</v>
      </c>
      <c r="C151" s="469">
        <v>57294342</v>
      </c>
    </row>
    <row r="152" spans="1:3" ht="25.5" hidden="1">
      <c r="A152" s="289" t="s">
        <v>544</v>
      </c>
      <c r="B152" s="46" t="s">
        <v>746</v>
      </c>
      <c r="C152" s="469"/>
    </row>
    <row r="153" spans="1:3" ht="25.5" hidden="1">
      <c r="A153" s="289" t="s">
        <v>544</v>
      </c>
      <c r="B153" s="46" t="s">
        <v>211</v>
      </c>
      <c r="C153" s="469"/>
    </row>
    <row r="154" spans="1:3" ht="25.5">
      <c r="A154" s="287" t="s">
        <v>359</v>
      </c>
      <c r="B154" s="400" t="s">
        <v>386</v>
      </c>
      <c r="C154" s="467">
        <f>C155+C157+C163+C165+C169+C167+C161+C159</f>
        <v>233464921</v>
      </c>
    </row>
    <row r="155" spans="1:3" ht="51">
      <c r="A155" s="291" t="s">
        <v>360</v>
      </c>
      <c r="B155" s="34" t="s">
        <v>156</v>
      </c>
      <c r="C155" s="468">
        <f>C156</f>
        <v>134715</v>
      </c>
    </row>
    <row r="156" spans="1:3" ht="38.25">
      <c r="A156" s="291" t="s">
        <v>361</v>
      </c>
      <c r="B156" s="34" t="s">
        <v>272</v>
      </c>
      <c r="C156" s="469">
        <v>134715</v>
      </c>
    </row>
    <row r="157" spans="1:3" ht="38.25">
      <c r="A157" s="291" t="s">
        <v>362</v>
      </c>
      <c r="B157" s="34" t="s">
        <v>481</v>
      </c>
      <c r="C157" s="468">
        <f>C158</f>
        <v>6071609</v>
      </c>
    </row>
    <row r="158" spans="1:3" ht="38.25">
      <c r="A158" s="291" t="s">
        <v>363</v>
      </c>
      <c r="B158" s="65" t="s">
        <v>345</v>
      </c>
      <c r="C158" s="469">
        <v>6071609</v>
      </c>
    </row>
    <row r="159" spans="1:3" ht="51">
      <c r="A159" s="344" t="s">
        <v>840</v>
      </c>
      <c r="B159" s="65" t="s">
        <v>842</v>
      </c>
      <c r="C159" s="469">
        <f>C160</f>
        <v>5797348</v>
      </c>
    </row>
    <row r="160" spans="1:3" ht="51">
      <c r="A160" s="344" t="s">
        <v>841</v>
      </c>
      <c r="B160" s="65" t="s">
        <v>843</v>
      </c>
      <c r="C160" s="469">
        <f>4228092+1569256</f>
        <v>5797348</v>
      </c>
    </row>
    <row r="161" spans="1:3" ht="51">
      <c r="A161" s="345" t="s">
        <v>825</v>
      </c>
      <c r="B161" s="65" t="s">
        <v>826</v>
      </c>
      <c r="C161" s="469">
        <f>C162</f>
        <v>41201</v>
      </c>
    </row>
    <row r="162" spans="1:3" ht="51">
      <c r="A162" s="291" t="s">
        <v>827</v>
      </c>
      <c r="B162" s="65" t="s">
        <v>828</v>
      </c>
      <c r="C162" s="469">
        <v>41201</v>
      </c>
    </row>
    <row r="163" spans="1:3" ht="38.25">
      <c r="A163" s="291" t="s">
        <v>470</v>
      </c>
      <c r="B163" s="34" t="s">
        <v>471</v>
      </c>
      <c r="C163" s="469">
        <f>C164</f>
        <v>41186977</v>
      </c>
    </row>
    <row r="164" spans="1:3" ht="38.25">
      <c r="A164" s="291" t="s">
        <v>472</v>
      </c>
      <c r="B164" s="34" t="s">
        <v>473</v>
      </c>
      <c r="C164" s="469">
        <f>5614307+37572670-2000000</f>
        <v>41186977</v>
      </c>
    </row>
    <row r="165" spans="1:3" ht="51">
      <c r="A165" s="346" t="s">
        <v>735</v>
      </c>
      <c r="B165" s="284" t="s">
        <v>736</v>
      </c>
      <c r="C165" s="469">
        <f>C166</f>
        <v>6473312</v>
      </c>
    </row>
    <row r="166" spans="1:3" ht="51">
      <c r="A166" s="88" t="s">
        <v>737</v>
      </c>
      <c r="B166" s="284" t="s">
        <v>152</v>
      </c>
      <c r="C166" s="469">
        <v>6473312</v>
      </c>
    </row>
    <row r="167" spans="1:3" ht="25.5" hidden="1">
      <c r="A167" s="88" t="s">
        <v>745</v>
      </c>
      <c r="B167" s="284" t="s">
        <v>744</v>
      </c>
      <c r="C167" s="469">
        <f>C168</f>
        <v>0</v>
      </c>
    </row>
    <row r="168" spans="1:3" ht="25.5" hidden="1">
      <c r="A168" s="88" t="s">
        <v>743</v>
      </c>
      <c r="B168" s="284" t="s">
        <v>742</v>
      </c>
      <c r="C168" s="469"/>
    </row>
    <row r="169" spans="1:3" ht="12.75">
      <c r="A169" s="347" t="s">
        <v>387</v>
      </c>
      <c r="B169" s="68" t="s">
        <v>346</v>
      </c>
      <c r="C169" s="468">
        <f>C170</f>
        <v>173759759</v>
      </c>
    </row>
    <row r="170" spans="1:3" ht="12.75">
      <c r="A170" s="291" t="s">
        <v>364</v>
      </c>
      <c r="B170" s="67" t="s">
        <v>81</v>
      </c>
      <c r="C170" s="468">
        <f>SUM(C171:C174)+SUM(C176:C178)+C181+C189</f>
        <v>173759759</v>
      </c>
    </row>
    <row r="171" spans="1:3" ht="76.5" customHeight="1">
      <c r="A171" s="291" t="s">
        <v>364</v>
      </c>
      <c r="B171" s="34" t="s">
        <v>728</v>
      </c>
      <c r="C171" s="469">
        <v>334700</v>
      </c>
    </row>
    <row r="172" spans="1:3" ht="102">
      <c r="A172" s="291" t="s">
        <v>364</v>
      </c>
      <c r="B172" s="34" t="s">
        <v>678</v>
      </c>
      <c r="C172" s="469">
        <v>334700</v>
      </c>
    </row>
    <row r="173" spans="1:3" ht="79.5" customHeight="1">
      <c r="A173" s="291" t="s">
        <v>364</v>
      </c>
      <c r="B173" s="34" t="s">
        <v>248</v>
      </c>
      <c r="C173" s="469">
        <v>334700</v>
      </c>
    </row>
    <row r="174" spans="1:3" ht="78" customHeight="1">
      <c r="A174" s="291" t="s">
        <v>364</v>
      </c>
      <c r="B174" s="34" t="s">
        <v>68</v>
      </c>
      <c r="C174" s="468">
        <f>C175</f>
        <v>1004100</v>
      </c>
    </row>
    <row r="175" spans="1:3" ht="12.75">
      <c r="A175" s="39"/>
      <c r="B175" s="40" t="s">
        <v>347</v>
      </c>
      <c r="C175" s="469">
        <v>1004100</v>
      </c>
    </row>
    <row r="176" spans="1:3" ht="114.75">
      <c r="A176" s="291" t="s">
        <v>364</v>
      </c>
      <c r="B176" s="34" t="s">
        <v>367</v>
      </c>
      <c r="C176" s="469">
        <v>96274514</v>
      </c>
    </row>
    <row r="177" spans="1:3" ht="102">
      <c r="A177" s="291" t="s">
        <v>364</v>
      </c>
      <c r="B177" s="34" t="s">
        <v>163</v>
      </c>
      <c r="C177" s="469">
        <v>55488082</v>
      </c>
    </row>
    <row r="178" spans="1:3" ht="114.75">
      <c r="A178" s="291" t="s">
        <v>364</v>
      </c>
      <c r="B178" s="41" t="s">
        <v>571</v>
      </c>
      <c r="C178" s="468">
        <f>SUM(C179:C180)</f>
        <v>5352121</v>
      </c>
    </row>
    <row r="179" spans="1:3" ht="51">
      <c r="A179" s="39"/>
      <c r="B179" s="40" t="s">
        <v>306</v>
      </c>
      <c r="C179" s="469">
        <v>236023</v>
      </c>
    </row>
    <row r="180" spans="1:3" ht="25.5">
      <c r="A180" s="39"/>
      <c r="B180" s="40" t="s">
        <v>348</v>
      </c>
      <c r="C180" s="469">
        <v>5116098</v>
      </c>
    </row>
    <row r="181" spans="1:3" ht="76.5">
      <c r="A181" s="291" t="s">
        <v>364</v>
      </c>
      <c r="B181" s="34" t="s">
        <v>548</v>
      </c>
      <c r="C181" s="472">
        <f>SUM(C182:C188)</f>
        <v>13385272</v>
      </c>
    </row>
    <row r="182" spans="1:3" ht="38.25" hidden="1">
      <c r="A182" s="39"/>
      <c r="B182" s="40" t="s">
        <v>349</v>
      </c>
      <c r="C182" s="469"/>
    </row>
    <row r="183" spans="1:3" ht="25.5">
      <c r="A183" s="39"/>
      <c r="B183" s="40" t="s">
        <v>350</v>
      </c>
      <c r="C183" s="469">
        <f>7619418-401775</f>
        <v>7217643</v>
      </c>
    </row>
    <row r="184" spans="1:3" ht="63.75">
      <c r="A184" s="39"/>
      <c r="B184" s="40" t="s">
        <v>515</v>
      </c>
      <c r="C184" s="469">
        <v>285929</v>
      </c>
    </row>
    <row r="185" spans="1:3" ht="12.75">
      <c r="A185" s="39"/>
      <c r="B185" s="40" t="s">
        <v>516</v>
      </c>
      <c r="C185" s="469">
        <v>1839382</v>
      </c>
    </row>
    <row r="186" spans="1:3" ht="38.25">
      <c r="A186" s="39"/>
      <c r="B186" s="40" t="s">
        <v>517</v>
      </c>
      <c r="C186" s="469">
        <v>2342900</v>
      </c>
    </row>
    <row r="187" spans="1:3" ht="51">
      <c r="A187" s="291"/>
      <c r="B187" s="119" t="s">
        <v>0</v>
      </c>
      <c r="C187" s="469">
        <v>1094800</v>
      </c>
    </row>
    <row r="188" spans="1:3" ht="25.5">
      <c r="A188" s="291"/>
      <c r="B188" s="118" t="s">
        <v>474</v>
      </c>
      <c r="C188" s="469">
        <f>842269-237651</f>
        <v>604618</v>
      </c>
    </row>
    <row r="189" spans="1:3" ht="76.5">
      <c r="A189" s="291" t="s">
        <v>364</v>
      </c>
      <c r="B189" s="41" t="s">
        <v>549</v>
      </c>
      <c r="C189" s="469">
        <f>SUM(C190:C191)</f>
        <v>1251570</v>
      </c>
    </row>
    <row r="190" spans="1:3" ht="38.25">
      <c r="A190" s="39"/>
      <c r="B190" s="40" t="s">
        <v>550</v>
      </c>
      <c r="C190" s="469">
        <v>1084220</v>
      </c>
    </row>
    <row r="191" spans="1:3" ht="51">
      <c r="A191" s="69"/>
      <c r="B191" s="44" t="s">
        <v>551</v>
      </c>
      <c r="C191" s="473">
        <v>167350</v>
      </c>
    </row>
    <row r="192" spans="1:3" ht="12.75" customHeight="1" hidden="1">
      <c r="A192" s="287" t="s">
        <v>1</v>
      </c>
      <c r="B192" s="348" t="s">
        <v>2</v>
      </c>
      <c r="C192" s="473">
        <f>C193</f>
        <v>0</v>
      </c>
    </row>
    <row r="193" spans="1:3" ht="63.75" customHeight="1" hidden="1">
      <c r="A193" s="289" t="s">
        <v>479</v>
      </c>
      <c r="B193" s="66" t="s">
        <v>480</v>
      </c>
      <c r="C193" s="473">
        <f>C194</f>
        <v>0</v>
      </c>
    </row>
    <row r="194" spans="1:3" ht="63.75" customHeight="1" hidden="1">
      <c r="A194" s="349" t="s">
        <v>477</v>
      </c>
      <c r="B194" s="284" t="s">
        <v>478</v>
      </c>
      <c r="C194" s="473"/>
    </row>
    <row r="195" spans="1:3" ht="12.75" customHeight="1">
      <c r="A195" s="350" t="s">
        <v>3</v>
      </c>
      <c r="B195" s="351" t="s">
        <v>741</v>
      </c>
      <c r="C195" s="473">
        <f>C196</f>
        <v>10500</v>
      </c>
    </row>
    <row r="196" spans="1:3" ht="25.5" customHeight="1">
      <c r="A196" s="346" t="s">
        <v>740</v>
      </c>
      <c r="B196" s="41" t="s">
        <v>738</v>
      </c>
      <c r="C196" s="473">
        <f>C197</f>
        <v>10500</v>
      </c>
    </row>
    <row r="197" spans="1:3" ht="25.5" customHeight="1">
      <c r="A197" s="332" t="s">
        <v>739</v>
      </c>
      <c r="B197" s="117" t="s">
        <v>738</v>
      </c>
      <c r="C197" s="473">
        <v>10500</v>
      </c>
    </row>
    <row r="198" spans="1:3" ht="39" thickBot="1">
      <c r="A198" s="399" t="s">
        <v>924</v>
      </c>
      <c r="B198" s="352" t="s">
        <v>925</v>
      </c>
      <c r="C198" s="473">
        <v>4261060.8</v>
      </c>
    </row>
    <row r="199" spans="1:3" ht="39" thickBot="1">
      <c r="A199" s="350" t="s">
        <v>139</v>
      </c>
      <c r="B199" s="352" t="s">
        <v>140</v>
      </c>
      <c r="C199" s="473">
        <f>-3712351.67+107206.6+892437.7</f>
        <v>-2712707.37</v>
      </c>
    </row>
  </sheetData>
  <sheetProtection/>
  <mergeCells count="4">
    <mergeCell ref="A1:C1"/>
    <mergeCell ref="A2:C2"/>
    <mergeCell ref="A3:C3"/>
    <mergeCell ref="A4:C4"/>
  </mergeCells>
  <hyperlinks>
    <hyperlink ref="B87" r:id="rId1" display="/document/12125267/entry/50"/>
    <hyperlink ref="B89" r:id="rId2" display="https://internet.garant.ru/#/document/12125267/entry/60"/>
    <hyperlink ref="B99" r:id="rId3" display="/document/12125267/entry/140"/>
    <hyperlink ref="B101" r:id="rId4" display="https://internet.garant.ru/#/document/12125267/entry/150"/>
    <hyperlink ref="B105" r:id="rId5" display="https://internet.garant.ru/#/document/12125267/entry/190"/>
    <hyperlink ref="B107" r:id="rId6" display="/document/12125267/entry/200"/>
  </hyperlinks>
  <printOptions/>
  <pageMargins left="0.7874015748031497" right="0.3937007874015748" top="0.5905511811023623" bottom="0.3937007874015748" header="0.5118110236220472" footer="0.31496062992125984"/>
  <pageSetup fitToHeight="0" fitToWidth="1" horizontalDpi="600" verticalDpi="600" orientation="portrait" paperSize="9" r:id="rId7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7C80"/>
  </sheetPr>
  <dimension ref="A1:F465"/>
  <sheetViews>
    <sheetView showGridLines="0" zoomScaleSheetLayoutView="100" zoomScalePageLayoutView="0" workbookViewId="0" topLeftCell="A1">
      <pane xSplit="1" ySplit="7" topLeftCell="B2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F33" sqref="F33"/>
    </sheetView>
  </sheetViews>
  <sheetFormatPr defaultColWidth="9.140625" defaultRowHeight="12.75"/>
  <cols>
    <col min="1" max="1" width="60.421875" style="120" customWidth="1"/>
    <col min="2" max="2" width="3.8515625" style="120" customWidth="1"/>
    <col min="3" max="3" width="4.57421875" style="120" customWidth="1"/>
    <col min="4" max="4" width="13.28125" style="120" customWidth="1"/>
    <col min="5" max="5" width="4.57421875" style="120" customWidth="1"/>
    <col min="6" max="6" width="14.421875" style="121" customWidth="1"/>
    <col min="7" max="16384" width="9.140625" style="120" customWidth="1"/>
  </cols>
  <sheetData>
    <row r="1" spans="1:6" ht="12.75">
      <c r="A1" s="174"/>
      <c r="B1" s="172"/>
      <c r="C1" s="172"/>
      <c r="D1" s="172"/>
      <c r="E1" s="172"/>
      <c r="F1" s="175" t="s">
        <v>448</v>
      </c>
    </row>
    <row r="2" spans="1:6" ht="12.75">
      <c r="A2" s="174"/>
      <c r="B2" s="172"/>
      <c r="C2" s="172"/>
      <c r="D2" s="172"/>
      <c r="E2" s="172"/>
      <c r="F2" s="35" t="s">
        <v>247</v>
      </c>
    </row>
    <row r="3" spans="1:6" ht="12.75">
      <c r="A3" s="173"/>
      <c r="B3" s="508" t="s">
        <v>985</v>
      </c>
      <c r="C3" s="512"/>
      <c r="D3" s="512"/>
      <c r="E3" s="512"/>
      <c r="F3" s="512"/>
    </row>
    <row r="4" spans="1:6" ht="46.5" customHeight="1">
      <c r="A4" s="513" t="s">
        <v>864</v>
      </c>
      <c r="B4" s="513"/>
      <c r="C4" s="513"/>
      <c r="D4" s="513"/>
      <c r="E4" s="513"/>
      <c r="F4" s="513"/>
    </row>
    <row r="5" spans="1:6" ht="12.75">
      <c r="A5" s="169"/>
      <c r="B5" s="169"/>
      <c r="C5" s="169"/>
      <c r="D5" s="169"/>
      <c r="E5" s="169"/>
      <c r="F5" s="168" t="s">
        <v>86</v>
      </c>
    </row>
    <row r="6" spans="1:6" ht="29.25" customHeight="1">
      <c r="A6" s="167" t="s">
        <v>82</v>
      </c>
      <c r="B6" s="167" t="s">
        <v>497</v>
      </c>
      <c r="C6" s="167" t="s">
        <v>498</v>
      </c>
      <c r="D6" s="167" t="s">
        <v>499</v>
      </c>
      <c r="E6" s="402" t="s">
        <v>500</v>
      </c>
      <c r="F6" s="165" t="s">
        <v>274</v>
      </c>
    </row>
    <row r="7" spans="1:6" ht="12.75">
      <c r="A7" s="166" t="s">
        <v>70</v>
      </c>
      <c r="B7" s="166" t="s">
        <v>83</v>
      </c>
      <c r="C7" s="166" t="s">
        <v>71</v>
      </c>
      <c r="D7" s="166" t="s">
        <v>501</v>
      </c>
      <c r="E7" s="403" t="s">
        <v>502</v>
      </c>
      <c r="F7" s="165" t="s">
        <v>503</v>
      </c>
    </row>
    <row r="8" spans="1:6" ht="12.75">
      <c r="A8" s="164" t="s">
        <v>87</v>
      </c>
      <c r="B8" s="163" t="s">
        <v>85</v>
      </c>
      <c r="C8" s="163" t="s">
        <v>85</v>
      </c>
      <c r="D8" s="163" t="s">
        <v>85</v>
      </c>
      <c r="E8" s="163" t="s">
        <v>85</v>
      </c>
      <c r="F8" s="162">
        <f>F9+F102+F108+F124+F172+F235+F241+F353+F370+F376+F452+F459</f>
        <v>749239034.1</v>
      </c>
    </row>
    <row r="9" spans="1:6" ht="12.75">
      <c r="A9" s="161" t="s">
        <v>566</v>
      </c>
      <c r="B9" s="159" t="s">
        <v>504</v>
      </c>
      <c r="C9" s="160" t="s">
        <v>436</v>
      </c>
      <c r="D9" s="159" t="s">
        <v>85</v>
      </c>
      <c r="E9" s="159" t="s">
        <v>85</v>
      </c>
      <c r="F9" s="158">
        <f>F10+F15+F27+F48+F53+F22+F43</f>
        <v>53928558.5</v>
      </c>
    </row>
    <row r="10" spans="1:6" ht="25.5">
      <c r="A10" s="132" t="s">
        <v>505</v>
      </c>
      <c r="B10" s="131" t="s">
        <v>504</v>
      </c>
      <c r="C10" s="131" t="s">
        <v>506</v>
      </c>
      <c r="D10" s="131" t="s">
        <v>85</v>
      </c>
      <c r="E10" s="131" t="s">
        <v>85</v>
      </c>
      <c r="F10" s="126">
        <f>F11</f>
        <v>359440</v>
      </c>
    </row>
    <row r="11" spans="1:6" ht="25.5">
      <c r="A11" s="139" t="s">
        <v>556</v>
      </c>
      <c r="B11" s="127" t="s">
        <v>504</v>
      </c>
      <c r="C11" s="127" t="s">
        <v>506</v>
      </c>
      <c r="D11" s="127" t="s">
        <v>649</v>
      </c>
      <c r="E11" s="127" t="s">
        <v>85</v>
      </c>
      <c r="F11" s="126">
        <f>F12</f>
        <v>359440</v>
      </c>
    </row>
    <row r="12" spans="1:6" ht="12.75">
      <c r="A12" s="139" t="s">
        <v>341</v>
      </c>
      <c r="B12" s="127" t="s">
        <v>504</v>
      </c>
      <c r="C12" s="127" t="s">
        <v>506</v>
      </c>
      <c r="D12" s="127" t="s">
        <v>650</v>
      </c>
      <c r="E12" s="129" t="s">
        <v>85</v>
      </c>
      <c r="F12" s="126">
        <f>F13</f>
        <v>359440</v>
      </c>
    </row>
    <row r="13" spans="1:6" ht="25.5">
      <c r="A13" s="129" t="s">
        <v>694</v>
      </c>
      <c r="B13" s="127" t="s">
        <v>504</v>
      </c>
      <c r="C13" s="127" t="s">
        <v>506</v>
      </c>
      <c r="D13" s="127" t="s">
        <v>651</v>
      </c>
      <c r="E13" s="127" t="s">
        <v>85</v>
      </c>
      <c r="F13" s="126">
        <f>F14</f>
        <v>359440</v>
      </c>
    </row>
    <row r="14" spans="1:6" ht="51">
      <c r="A14" s="139" t="s">
        <v>698</v>
      </c>
      <c r="B14" s="127" t="s">
        <v>504</v>
      </c>
      <c r="C14" s="127" t="s">
        <v>506</v>
      </c>
      <c r="D14" s="127" t="s">
        <v>651</v>
      </c>
      <c r="E14" s="127" t="s">
        <v>565</v>
      </c>
      <c r="F14" s="138">
        <f>1314352-950574-4338</f>
        <v>359440</v>
      </c>
    </row>
    <row r="15" spans="1:6" ht="38.25">
      <c r="A15" s="132" t="s">
        <v>684</v>
      </c>
      <c r="B15" s="131" t="s">
        <v>504</v>
      </c>
      <c r="C15" s="131" t="s">
        <v>507</v>
      </c>
      <c r="D15" s="131" t="s">
        <v>85</v>
      </c>
      <c r="E15" s="131" t="s">
        <v>85</v>
      </c>
      <c r="F15" s="126">
        <f>F16</f>
        <v>13489682</v>
      </c>
    </row>
    <row r="16" spans="1:6" ht="12.75">
      <c r="A16" s="139" t="s">
        <v>443</v>
      </c>
      <c r="B16" s="127" t="s">
        <v>504</v>
      </c>
      <c r="C16" s="127" t="s">
        <v>507</v>
      </c>
      <c r="D16" s="127" t="s">
        <v>652</v>
      </c>
      <c r="E16" s="127" t="s">
        <v>85</v>
      </c>
      <c r="F16" s="126">
        <f>F17</f>
        <v>13489682</v>
      </c>
    </row>
    <row r="17" spans="1:6" ht="12.75">
      <c r="A17" s="139" t="s">
        <v>447</v>
      </c>
      <c r="B17" s="127" t="s">
        <v>504</v>
      </c>
      <c r="C17" s="127" t="s">
        <v>507</v>
      </c>
      <c r="D17" s="127" t="s">
        <v>653</v>
      </c>
      <c r="E17" s="129" t="s">
        <v>85</v>
      </c>
      <c r="F17" s="126">
        <f>F18</f>
        <v>13489682</v>
      </c>
    </row>
    <row r="18" spans="1:6" ht="25.5">
      <c r="A18" s="129" t="s">
        <v>694</v>
      </c>
      <c r="B18" s="127" t="s">
        <v>504</v>
      </c>
      <c r="C18" s="127" t="s">
        <v>507</v>
      </c>
      <c r="D18" s="127" t="s">
        <v>655</v>
      </c>
      <c r="E18" s="127" t="s">
        <v>85</v>
      </c>
      <c r="F18" s="126">
        <f>SUM(F19:F21)</f>
        <v>13489682</v>
      </c>
    </row>
    <row r="19" spans="1:6" ht="51">
      <c r="A19" s="139" t="s">
        <v>698</v>
      </c>
      <c r="B19" s="127" t="s">
        <v>504</v>
      </c>
      <c r="C19" s="127" t="s">
        <v>507</v>
      </c>
      <c r="D19" s="127" t="s">
        <v>655</v>
      </c>
      <c r="E19" s="127">
        <v>100</v>
      </c>
      <c r="F19" s="138">
        <f>11401730+810638</f>
        <v>12212368</v>
      </c>
    </row>
    <row r="20" spans="1:6" ht="25.5">
      <c r="A20" s="139" t="s">
        <v>212</v>
      </c>
      <c r="B20" s="127" t="s">
        <v>504</v>
      </c>
      <c r="C20" s="127" t="s">
        <v>507</v>
      </c>
      <c r="D20" s="127" t="s">
        <v>655</v>
      </c>
      <c r="E20" s="127">
        <v>200</v>
      </c>
      <c r="F20" s="138">
        <v>1153128</v>
      </c>
    </row>
    <row r="21" spans="1:6" ht="12.75">
      <c r="A21" s="139" t="s">
        <v>75</v>
      </c>
      <c r="B21" s="127" t="s">
        <v>504</v>
      </c>
      <c r="C21" s="127" t="s">
        <v>507</v>
      </c>
      <c r="D21" s="127" t="s">
        <v>655</v>
      </c>
      <c r="E21" s="127">
        <v>800</v>
      </c>
      <c r="F21" s="138">
        <f>123186+1000</f>
        <v>124186</v>
      </c>
    </row>
    <row r="22" spans="1:6" ht="12.75">
      <c r="A22" s="292" t="s">
        <v>829</v>
      </c>
      <c r="B22" s="127" t="s">
        <v>504</v>
      </c>
      <c r="C22" s="144" t="s">
        <v>620</v>
      </c>
      <c r="D22" s="127"/>
      <c r="E22" s="127"/>
      <c r="F22" s="138">
        <f>F23</f>
        <v>41201</v>
      </c>
    </row>
    <row r="23" spans="1:6" ht="25.5">
      <c r="A23" s="293" t="s">
        <v>593</v>
      </c>
      <c r="B23" s="127" t="s">
        <v>504</v>
      </c>
      <c r="C23" s="144" t="s">
        <v>620</v>
      </c>
      <c r="D23" s="149" t="s">
        <v>14</v>
      </c>
      <c r="E23" s="148"/>
      <c r="F23" s="138">
        <f>F24</f>
        <v>41201</v>
      </c>
    </row>
    <row r="24" spans="1:6" ht="16.5" customHeight="1">
      <c r="A24" s="294" t="s">
        <v>603</v>
      </c>
      <c r="B24" s="127" t="s">
        <v>504</v>
      </c>
      <c r="C24" s="144" t="s">
        <v>620</v>
      </c>
      <c r="D24" s="149" t="s">
        <v>16</v>
      </c>
      <c r="E24" s="148"/>
      <c r="F24" s="138">
        <f>F25</f>
        <v>41201</v>
      </c>
    </row>
    <row r="25" spans="1:6" ht="38.25">
      <c r="A25" s="294" t="s">
        <v>830</v>
      </c>
      <c r="B25" s="127" t="s">
        <v>504</v>
      </c>
      <c r="C25" s="144" t="s">
        <v>620</v>
      </c>
      <c r="D25" s="149" t="s">
        <v>831</v>
      </c>
      <c r="E25" s="148"/>
      <c r="F25" s="138">
        <f>F26</f>
        <v>41201</v>
      </c>
    </row>
    <row r="26" spans="1:6" ht="25.5">
      <c r="A26" s="292" t="s">
        <v>212</v>
      </c>
      <c r="B26" s="127" t="s">
        <v>504</v>
      </c>
      <c r="C26" s="144" t="s">
        <v>620</v>
      </c>
      <c r="D26" s="149" t="s">
        <v>831</v>
      </c>
      <c r="E26" s="148">
        <v>200</v>
      </c>
      <c r="F26" s="138">
        <v>41201</v>
      </c>
    </row>
    <row r="27" spans="1:6" ht="38.25">
      <c r="A27" s="132" t="s">
        <v>329</v>
      </c>
      <c r="B27" s="131" t="s">
        <v>504</v>
      </c>
      <c r="C27" s="131" t="s">
        <v>508</v>
      </c>
      <c r="D27" s="131" t="s">
        <v>85</v>
      </c>
      <c r="E27" s="131" t="s">
        <v>85</v>
      </c>
      <c r="F27" s="126">
        <f>F28+F35</f>
        <v>5590778</v>
      </c>
    </row>
    <row r="28" spans="1:6" ht="25.5">
      <c r="A28" s="130" t="s">
        <v>166</v>
      </c>
      <c r="B28" s="127" t="s">
        <v>504</v>
      </c>
      <c r="C28" s="127" t="s">
        <v>508</v>
      </c>
      <c r="D28" s="127" t="s">
        <v>656</v>
      </c>
      <c r="E28" s="127" t="s">
        <v>85</v>
      </c>
      <c r="F28" s="126">
        <f>F29</f>
        <v>4420392</v>
      </c>
    </row>
    <row r="29" spans="1:6" ht="42" customHeight="1">
      <c r="A29" s="70" t="s">
        <v>168</v>
      </c>
      <c r="B29" s="127" t="s">
        <v>504</v>
      </c>
      <c r="C29" s="127" t="s">
        <v>508</v>
      </c>
      <c r="D29" s="127" t="s">
        <v>657</v>
      </c>
      <c r="E29" s="129" t="s">
        <v>85</v>
      </c>
      <c r="F29" s="126">
        <f>F30</f>
        <v>4420392</v>
      </c>
    </row>
    <row r="30" spans="1:6" ht="38.25">
      <c r="A30" s="28" t="s">
        <v>567</v>
      </c>
      <c r="B30" s="127" t="s">
        <v>504</v>
      </c>
      <c r="C30" s="127" t="s">
        <v>508</v>
      </c>
      <c r="D30" s="127" t="s">
        <v>296</v>
      </c>
      <c r="E30" s="129"/>
      <c r="F30" s="126">
        <f>F31</f>
        <v>4420392</v>
      </c>
    </row>
    <row r="31" spans="1:6" ht="25.5">
      <c r="A31" s="129" t="s">
        <v>694</v>
      </c>
      <c r="B31" s="127" t="s">
        <v>504</v>
      </c>
      <c r="C31" s="127" t="s">
        <v>508</v>
      </c>
      <c r="D31" s="127" t="s">
        <v>658</v>
      </c>
      <c r="E31" s="127" t="s">
        <v>85</v>
      </c>
      <c r="F31" s="126">
        <f>SUM(F32:F34)</f>
        <v>4420392</v>
      </c>
    </row>
    <row r="32" spans="1:6" ht="51">
      <c r="A32" s="139" t="s">
        <v>698</v>
      </c>
      <c r="B32" s="127" t="s">
        <v>504</v>
      </c>
      <c r="C32" s="127" t="s">
        <v>508</v>
      </c>
      <c r="D32" s="127" t="s">
        <v>658</v>
      </c>
      <c r="E32" s="127">
        <v>100</v>
      </c>
      <c r="F32" s="138">
        <f>3065881+925896+21378+4338</f>
        <v>4017493</v>
      </c>
    </row>
    <row r="33" spans="1:6" ht="25.5">
      <c r="A33" s="139" t="s">
        <v>212</v>
      </c>
      <c r="B33" s="127" t="s">
        <v>504</v>
      </c>
      <c r="C33" s="127" t="s">
        <v>508</v>
      </c>
      <c r="D33" s="127" t="s">
        <v>658</v>
      </c>
      <c r="E33" s="127" t="s">
        <v>72</v>
      </c>
      <c r="F33" s="138">
        <f>64899+5000+15000+296000+22000</f>
        <v>402899</v>
      </c>
    </row>
    <row r="34" spans="1:6" ht="12.75" customHeight="1" hidden="1">
      <c r="A34" s="139" t="s">
        <v>75</v>
      </c>
      <c r="B34" s="127" t="s">
        <v>504</v>
      </c>
      <c r="C34" s="127" t="s">
        <v>508</v>
      </c>
      <c r="D34" s="127" t="s">
        <v>658</v>
      </c>
      <c r="E34" s="127">
        <v>800</v>
      </c>
      <c r="F34" s="138"/>
    </row>
    <row r="35" spans="1:6" ht="25.5">
      <c r="A35" s="130" t="s">
        <v>164</v>
      </c>
      <c r="B35" s="127" t="s">
        <v>504</v>
      </c>
      <c r="C35" s="127" t="s">
        <v>508</v>
      </c>
      <c r="D35" s="128" t="s">
        <v>659</v>
      </c>
      <c r="E35" s="129" t="s">
        <v>85</v>
      </c>
      <c r="F35" s="126">
        <f>F36+F39</f>
        <v>1170386</v>
      </c>
    </row>
    <row r="36" spans="1:6" ht="25.5">
      <c r="A36" s="70" t="s">
        <v>165</v>
      </c>
      <c r="B36" s="127" t="s">
        <v>504</v>
      </c>
      <c r="C36" s="127" t="s">
        <v>508</v>
      </c>
      <c r="D36" s="140" t="s">
        <v>660</v>
      </c>
      <c r="E36" s="127" t="s">
        <v>85</v>
      </c>
      <c r="F36" s="126">
        <f>F37</f>
        <v>704687</v>
      </c>
    </row>
    <row r="37" spans="1:6" ht="25.5">
      <c r="A37" s="129" t="s">
        <v>694</v>
      </c>
      <c r="B37" s="127" t="s">
        <v>504</v>
      </c>
      <c r="C37" s="127" t="s">
        <v>508</v>
      </c>
      <c r="D37" s="128" t="s">
        <v>661</v>
      </c>
      <c r="E37" s="127"/>
      <c r="F37" s="126">
        <f>SUM(F38:F38)</f>
        <v>704687</v>
      </c>
    </row>
    <row r="38" spans="1:6" ht="51">
      <c r="A38" s="139" t="s">
        <v>698</v>
      </c>
      <c r="B38" s="127" t="s">
        <v>504</v>
      </c>
      <c r="C38" s="127" t="s">
        <v>508</v>
      </c>
      <c r="D38" s="128" t="s">
        <v>661</v>
      </c>
      <c r="E38" s="127">
        <v>100</v>
      </c>
      <c r="F38" s="126">
        <v>704687</v>
      </c>
    </row>
    <row r="39" spans="1:6" ht="12.75">
      <c r="A39" s="139" t="s">
        <v>38</v>
      </c>
      <c r="B39" s="127" t="s">
        <v>504</v>
      </c>
      <c r="C39" s="127" t="s">
        <v>508</v>
      </c>
      <c r="D39" s="140" t="s">
        <v>37</v>
      </c>
      <c r="E39" s="127"/>
      <c r="F39" s="126">
        <f>F40</f>
        <v>465699</v>
      </c>
    </row>
    <row r="40" spans="1:6" ht="25.5">
      <c r="A40" s="129" t="s">
        <v>694</v>
      </c>
      <c r="B40" s="127" t="s">
        <v>504</v>
      </c>
      <c r="C40" s="127" t="s">
        <v>508</v>
      </c>
      <c r="D40" s="128" t="s">
        <v>36</v>
      </c>
      <c r="E40" s="127"/>
      <c r="F40" s="126">
        <f>SUM(F41:F42)</f>
        <v>465699</v>
      </c>
    </row>
    <row r="41" spans="1:6" ht="51">
      <c r="A41" s="139" t="s">
        <v>698</v>
      </c>
      <c r="B41" s="127" t="s">
        <v>504</v>
      </c>
      <c r="C41" s="127" t="s">
        <v>508</v>
      </c>
      <c r="D41" s="128" t="s">
        <v>36</v>
      </c>
      <c r="E41" s="127">
        <v>100</v>
      </c>
      <c r="F41" s="138">
        <v>445699</v>
      </c>
    </row>
    <row r="42" spans="1:6" ht="25.5">
      <c r="A42" s="139" t="s">
        <v>212</v>
      </c>
      <c r="B42" s="127" t="s">
        <v>504</v>
      </c>
      <c r="C42" s="127" t="s">
        <v>508</v>
      </c>
      <c r="D42" s="128" t="s">
        <v>36</v>
      </c>
      <c r="E42" s="127">
        <v>200</v>
      </c>
      <c r="F42" s="138">
        <f>10000+10000</f>
        <v>20000</v>
      </c>
    </row>
    <row r="43" spans="1:6" ht="12.75">
      <c r="A43" s="139" t="s">
        <v>889</v>
      </c>
      <c r="B43" s="127" t="s">
        <v>504</v>
      </c>
      <c r="C43" s="127" t="s">
        <v>621</v>
      </c>
      <c r="D43" s="128"/>
      <c r="E43" s="127"/>
      <c r="F43" s="138">
        <f>F44</f>
        <v>1130750</v>
      </c>
    </row>
    <row r="44" spans="1:6" ht="12.75">
      <c r="A44" s="139" t="s">
        <v>593</v>
      </c>
      <c r="B44" s="127" t="s">
        <v>504</v>
      </c>
      <c r="C44" s="127" t="s">
        <v>621</v>
      </c>
      <c r="D44" s="128" t="s">
        <v>891</v>
      </c>
      <c r="E44" s="127"/>
      <c r="F44" s="138">
        <f>F45</f>
        <v>1130750</v>
      </c>
    </row>
    <row r="45" spans="1:6" ht="12.75">
      <c r="A45" s="139" t="s">
        <v>890</v>
      </c>
      <c r="B45" s="127" t="s">
        <v>504</v>
      </c>
      <c r="C45" s="127" t="s">
        <v>621</v>
      </c>
      <c r="D45" s="128" t="s">
        <v>892</v>
      </c>
      <c r="E45" s="127"/>
      <c r="F45" s="138">
        <f>F46</f>
        <v>1130750</v>
      </c>
    </row>
    <row r="46" spans="1:6" ht="12.75">
      <c r="A46" s="398" t="s">
        <v>917</v>
      </c>
      <c r="B46" s="127" t="s">
        <v>504</v>
      </c>
      <c r="C46" s="127" t="s">
        <v>621</v>
      </c>
      <c r="D46" s="128" t="s">
        <v>893</v>
      </c>
      <c r="E46" s="127"/>
      <c r="F46" s="138">
        <f>F47</f>
        <v>1130750</v>
      </c>
    </row>
    <row r="47" spans="1:6" ht="25.5">
      <c r="A47" s="139" t="s">
        <v>148</v>
      </c>
      <c r="B47" s="127" t="s">
        <v>504</v>
      </c>
      <c r="C47" s="127" t="s">
        <v>621</v>
      </c>
      <c r="D47" s="128" t="s">
        <v>893</v>
      </c>
      <c r="E47" s="127">
        <v>800</v>
      </c>
      <c r="F47" s="138">
        <v>1130750</v>
      </c>
    </row>
    <row r="48" spans="1:6" ht="12.75">
      <c r="A48" s="132" t="s">
        <v>509</v>
      </c>
      <c r="B48" s="131" t="s">
        <v>504</v>
      </c>
      <c r="C48" s="131" t="s">
        <v>510</v>
      </c>
      <c r="D48" s="131" t="s">
        <v>85</v>
      </c>
      <c r="E48" s="131" t="s">
        <v>85</v>
      </c>
      <c r="F48" s="126">
        <f>F49</f>
        <v>300000</v>
      </c>
    </row>
    <row r="49" spans="1:6" ht="12.75">
      <c r="A49" s="139" t="s">
        <v>169</v>
      </c>
      <c r="B49" s="127" t="s">
        <v>504</v>
      </c>
      <c r="C49" s="127" t="s">
        <v>510</v>
      </c>
      <c r="D49" s="127" t="s">
        <v>662</v>
      </c>
      <c r="E49" s="127" t="s">
        <v>85</v>
      </c>
      <c r="F49" s="126">
        <f>F50</f>
        <v>300000</v>
      </c>
    </row>
    <row r="50" spans="1:6" ht="12.75">
      <c r="A50" s="139" t="s">
        <v>509</v>
      </c>
      <c r="B50" s="127" t="s">
        <v>504</v>
      </c>
      <c r="C50" s="127" t="s">
        <v>510</v>
      </c>
      <c r="D50" s="127" t="s">
        <v>663</v>
      </c>
      <c r="E50" s="129" t="s">
        <v>85</v>
      </c>
      <c r="F50" s="126">
        <f>F51</f>
        <v>300000</v>
      </c>
    </row>
    <row r="51" spans="1:6" ht="12.75">
      <c r="A51" s="129" t="s">
        <v>245</v>
      </c>
      <c r="B51" s="127" t="s">
        <v>504</v>
      </c>
      <c r="C51" s="127" t="s">
        <v>510</v>
      </c>
      <c r="D51" s="127" t="s">
        <v>206</v>
      </c>
      <c r="E51" s="127" t="s">
        <v>85</v>
      </c>
      <c r="F51" s="126">
        <f>F52</f>
        <v>300000</v>
      </c>
    </row>
    <row r="52" spans="1:6" ht="12.75">
      <c r="A52" s="139" t="s">
        <v>75</v>
      </c>
      <c r="B52" s="127" t="s">
        <v>504</v>
      </c>
      <c r="C52" s="127" t="s">
        <v>510</v>
      </c>
      <c r="D52" s="127" t="s">
        <v>206</v>
      </c>
      <c r="E52" s="127" t="s">
        <v>76</v>
      </c>
      <c r="F52" s="138">
        <f>100000+200000</f>
        <v>300000</v>
      </c>
    </row>
    <row r="53" spans="1:6" ht="12.75">
      <c r="A53" s="132" t="s">
        <v>445</v>
      </c>
      <c r="B53" s="131" t="s">
        <v>504</v>
      </c>
      <c r="C53" s="131" t="s">
        <v>98</v>
      </c>
      <c r="D53" s="131" t="s">
        <v>85</v>
      </c>
      <c r="E53" s="131" t="s">
        <v>85</v>
      </c>
      <c r="F53" s="126">
        <f>F54+F59+F65+F72+F82+F86+F79</f>
        <v>33016707.5</v>
      </c>
    </row>
    <row r="54" spans="1:6" ht="25.5" customHeight="1" hidden="1">
      <c r="A54" s="130" t="s">
        <v>714</v>
      </c>
      <c r="B54" s="127" t="s">
        <v>504</v>
      </c>
      <c r="C54" s="127" t="s">
        <v>98</v>
      </c>
      <c r="D54" s="127" t="s">
        <v>207</v>
      </c>
      <c r="E54" s="127" t="s">
        <v>85</v>
      </c>
      <c r="F54" s="126">
        <f>F55</f>
        <v>0</v>
      </c>
    </row>
    <row r="55" spans="1:6" ht="51" customHeight="1" hidden="1">
      <c r="A55" s="70" t="s">
        <v>591</v>
      </c>
      <c r="B55" s="127" t="s">
        <v>504</v>
      </c>
      <c r="C55" s="127" t="s">
        <v>98</v>
      </c>
      <c r="D55" s="140" t="s">
        <v>6</v>
      </c>
      <c r="E55" s="129" t="s">
        <v>85</v>
      </c>
      <c r="F55" s="126">
        <f>F56</f>
        <v>0</v>
      </c>
    </row>
    <row r="56" spans="1:6" ht="38.25" customHeight="1" hidden="1">
      <c r="A56" s="31" t="s">
        <v>424</v>
      </c>
      <c r="B56" s="127" t="s">
        <v>504</v>
      </c>
      <c r="C56" s="127" t="s">
        <v>98</v>
      </c>
      <c r="D56" s="140" t="s">
        <v>129</v>
      </c>
      <c r="E56" s="129"/>
      <c r="F56" s="126">
        <f>F57</f>
        <v>0</v>
      </c>
    </row>
    <row r="57" spans="1:6" ht="38.25" customHeight="1" hidden="1">
      <c r="A57" s="129" t="s">
        <v>592</v>
      </c>
      <c r="B57" s="127" t="s">
        <v>504</v>
      </c>
      <c r="C57" s="127" t="s">
        <v>98</v>
      </c>
      <c r="D57" s="128" t="s">
        <v>425</v>
      </c>
      <c r="E57" s="127" t="s">
        <v>85</v>
      </c>
      <c r="F57" s="126">
        <f>F58</f>
        <v>0</v>
      </c>
    </row>
    <row r="58" spans="1:6" ht="25.5" customHeight="1" hidden="1">
      <c r="A58" s="139" t="s">
        <v>88</v>
      </c>
      <c r="B58" s="127" t="s">
        <v>504</v>
      </c>
      <c r="C58" s="127" t="s">
        <v>98</v>
      </c>
      <c r="D58" s="128" t="s">
        <v>425</v>
      </c>
      <c r="E58" s="127" t="s">
        <v>77</v>
      </c>
      <c r="F58" s="138">
        <v>0</v>
      </c>
    </row>
    <row r="59" spans="1:6" ht="51">
      <c r="A59" s="130" t="s">
        <v>674</v>
      </c>
      <c r="B59" s="127" t="s">
        <v>504</v>
      </c>
      <c r="C59" s="127" t="s">
        <v>98</v>
      </c>
      <c r="D59" s="128" t="s">
        <v>8</v>
      </c>
      <c r="E59" s="127" t="s">
        <v>85</v>
      </c>
      <c r="F59" s="126">
        <f>F60</f>
        <v>2736458</v>
      </c>
    </row>
    <row r="60" spans="1:6" ht="25.5">
      <c r="A60" s="132" t="s">
        <v>450</v>
      </c>
      <c r="B60" s="127" t="s">
        <v>504</v>
      </c>
      <c r="C60" s="127" t="s">
        <v>98</v>
      </c>
      <c r="D60" s="128" t="s">
        <v>9</v>
      </c>
      <c r="E60" s="127" t="s">
        <v>85</v>
      </c>
      <c r="F60" s="126">
        <f>F61</f>
        <v>2736458</v>
      </c>
    </row>
    <row r="61" spans="1:6" ht="38.25">
      <c r="A61" s="322" t="s">
        <v>35</v>
      </c>
      <c r="B61" s="127" t="s">
        <v>504</v>
      </c>
      <c r="C61" s="127" t="s">
        <v>98</v>
      </c>
      <c r="D61" s="128" t="s">
        <v>10</v>
      </c>
      <c r="E61" s="127"/>
      <c r="F61" s="126">
        <f>F62</f>
        <v>2736458</v>
      </c>
    </row>
    <row r="62" spans="1:6" ht="12.75">
      <c r="A62" s="129" t="s">
        <v>267</v>
      </c>
      <c r="B62" s="127" t="s">
        <v>504</v>
      </c>
      <c r="C62" s="127" t="s">
        <v>98</v>
      </c>
      <c r="D62" s="128" t="s">
        <v>11</v>
      </c>
      <c r="E62" s="127" t="s">
        <v>85</v>
      </c>
      <c r="F62" s="126">
        <f>SUM(F63:F64)</f>
        <v>2736458</v>
      </c>
    </row>
    <row r="63" spans="1:6" ht="25.5">
      <c r="A63" s="139" t="s">
        <v>212</v>
      </c>
      <c r="B63" s="127" t="s">
        <v>504</v>
      </c>
      <c r="C63" s="127" t="s">
        <v>98</v>
      </c>
      <c r="D63" s="128" t="s">
        <v>11</v>
      </c>
      <c r="E63" s="127" t="s">
        <v>72</v>
      </c>
      <c r="F63" s="138">
        <v>2217496</v>
      </c>
    </row>
    <row r="64" spans="1:6" ht="12.75">
      <c r="A64" s="139" t="s">
        <v>75</v>
      </c>
      <c r="B64" s="127" t="s">
        <v>504</v>
      </c>
      <c r="C64" s="127" t="s">
        <v>98</v>
      </c>
      <c r="D64" s="128" t="s">
        <v>11</v>
      </c>
      <c r="E64" s="127">
        <v>800</v>
      </c>
      <c r="F64" s="138">
        <v>518962</v>
      </c>
    </row>
    <row r="65" spans="1:6" ht="51">
      <c r="A65" s="130" t="s">
        <v>280</v>
      </c>
      <c r="B65" s="127" t="s">
        <v>504</v>
      </c>
      <c r="C65" s="127" t="s">
        <v>98</v>
      </c>
      <c r="D65" s="127" t="s">
        <v>12</v>
      </c>
      <c r="E65" s="127"/>
      <c r="F65" s="126">
        <f>F66</f>
        <v>50000</v>
      </c>
    </row>
    <row r="66" spans="1:6" ht="63.75">
      <c r="A66" s="70" t="s">
        <v>281</v>
      </c>
      <c r="B66" s="127" t="s">
        <v>504</v>
      </c>
      <c r="C66" s="127" t="s">
        <v>98</v>
      </c>
      <c r="D66" s="127" t="s">
        <v>13</v>
      </c>
      <c r="E66" s="127"/>
      <c r="F66" s="126">
        <f>F67</f>
        <v>50000</v>
      </c>
    </row>
    <row r="67" spans="1:6" ht="25.5">
      <c r="A67" s="73" t="s">
        <v>268</v>
      </c>
      <c r="B67" s="71" t="s">
        <v>504</v>
      </c>
      <c r="C67" s="71" t="s">
        <v>98</v>
      </c>
      <c r="D67" s="71" t="s">
        <v>107</v>
      </c>
      <c r="E67" s="71"/>
      <c r="F67" s="72">
        <f>F68</f>
        <v>50000</v>
      </c>
    </row>
    <row r="68" spans="1:6" ht="24">
      <c r="A68" s="323" t="s">
        <v>255</v>
      </c>
      <c r="B68" s="71" t="s">
        <v>504</v>
      </c>
      <c r="C68" s="71" t="s">
        <v>98</v>
      </c>
      <c r="D68" s="71" t="s">
        <v>269</v>
      </c>
      <c r="E68" s="71"/>
      <c r="F68" s="72">
        <f>F69</f>
        <v>50000</v>
      </c>
    </row>
    <row r="69" spans="1:6" ht="25.5">
      <c r="A69" s="73" t="s">
        <v>212</v>
      </c>
      <c r="B69" s="71" t="s">
        <v>504</v>
      </c>
      <c r="C69" s="71" t="s">
        <v>98</v>
      </c>
      <c r="D69" s="71" t="s">
        <v>269</v>
      </c>
      <c r="E69" s="71">
        <v>200</v>
      </c>
      <c r="F69" s="72">
        <v>50000</v>
      </c>
    </row>
    <row r="70" spans="1:6" ht="24" customHeight="1" hidden="1">
      <c r="A70" s="323" t="s">
        <v>255</v>
      </c>
      <c r="B70" s="127" t="s">
        <v>504</v>
      </c>
      <c r="C70" s="127" t="s">
        <v>98</v>
      </c>
      <c r="D70" s="127" t="s">
        <v>256</v>
      </c>
      <c r="E70" s="127"/>
      <c r="F70" s="126">
        <f>F71</f>
        <v>0</v>
      </c>
    </row>
    <row r="71" spans="1:6" ht="25.5" customHeight="1" hidden="1">
      <c r="A71" s="139" t="s">
        <v>212</v>
      </c>
      <c r="B71" s="127" t="s">
        <v>504</v>
      </c>
      <c r="C71" s="127" t="s">
        <v>98</v>
      </c>
      <c r="D71" s="127" t="s">
        <v>256</v>
      </c>
      <c r="E71" s="127">
        <v>200</v>
      </c>
      <c r="F71" s="138"/>
    </row>
    <row r="72" spans="1:6" ht="38.25" customHeight="1" hidden="1">
      <c r="A72" s="130" t="s">
        <v>676</v>
      </c>
      <c r="B72" s="127" t="s">
        <v>504</v>
      </c>
      <c r="C72" s="127" t="s">
        <v>98</v>
      </c>
      <c r="D72" s="127" t="s">
        <v>108</v>
      </c>
      <c r="E72" s="127"/>
      <c r="F72" s="126">
        <f>F73</f>
        <v>0</v>
      </c>
    </row>
    <row r="73" spans="1:6" ht="51" hidden="1">
      <c r="A73" s="70" t="s">
        <v>677</v>
      </c>
      <c r="B73" s="127" t="s">
        <v>504</v>
      </c>
      <c r="C73" s="127" t="s">
        <v>98</v>
      </c>
      <c r="D73" s="127" t="s">
        <v>109</v>
      </c>
      <c r="E73" s="127"/>
      <c r="F73" s="126">
        <f>F74</f>
        <v>0</v>
      </c>
    </row>
    <row r="74" spans="1:6" ht="25.5" hidden="1">
      <c r="A74" s="139" t="s">
        <v>110</v>
      </c>
      <c r="B74" s="127" t="s">
        <v>504</v>
      </c>
      <c r="C74" s="127" t="s">
        <v>98</v>
      </c>
      <c r="D74" s="127" t="s">
        <v>111</v>
      </c>
      <c r="E74" s="127"/>
      <c r="F74" s="126">
        <f>F75</f>
        <v>0</v>
      </c>
    </row>
    <row r="75" spans="1:6" ht="25.5" hidden="1">
      <c r="A75" s="139" t="s">
        <v>113</v>
      </c>
      <c r="B75" s="127" t="s">
        <v>504</v>
      </c>
      <c r="C75" s="127" t="s">
        <v>98</v>
      </c>
      <c r="D75" s="127" t="s">
        <v>112</v>
      </c>
      <c r="E75" s="127"/>
      <c r="F75" s="126">
        <f>F76</f>
        <v>0</v>
      </c>
    </row>
    <row r="76" spans="1:6" ht="25.5" hidden="1">
      <c r="A76" s="139" t="s">
        <v>212</v>
      </c>
      <c r="B76" s="127" t="s">
        <v>504</v>
      </c>
      <c r="C76" s="127" t="s">
        <v>98</v>
      </c>
      <c r="D76" s="127" t="s">
        <v>112</v>
      </c>
      <c r="E76" s="127">
        <v>200</v>
      </c>
      <c r="F76" s="138">
        <f>30000-30000</f>
        <v>0</v>
      </c>
    </row>
    <row r="77" spans="1:6" ht="12.75">
      <c r="A77" s="139" t="s">
        <v>443</v>
      </c>
      <c r="B77" s="127" t="s">
        <v>504</v>
      </c>
      <c r="C77" s="127" t="s">
        <v>98</v>
      </c>
      <c r="D77" s="127" t="s">
        <v>652</v>
      </c>
      <c r="E77" s="127"/>
      <c r="F77" s="138">
        <f>F78</f>
        <v>334700</v>
      </c>
    </row>
    <row r="78" spans="1:6" ht="12.75">
      <c r="A78" s="139" t="s">
        <v>447</v>
      </c>
      <c r="B78" s="127" t="s">
        <v>504</v>
      </c>
      <c r="C78" s="127" t="s">
        <v>98</v>
      </c>
      <c r="D78" s="127" t="s">
        <v>653</v>
      </c>
      <c r="E78" s="127"/>
      <c r="F78" s="138">
        <f>F79</f>
        <v>334700</v>
      </c>
    </row>
    <row r="79" spans="1:6" ht="38.25">
      <c r="A79" s="139" t="s">
        <v>277</v>
      </c>
      <c r="B79" s="127" t="s">
        <v>504</v>
      </c>
      <c r="C79" s="127" t="s">
        <v>98</v>
      </c>
      <c r="D79" s="127" t="s">
        <v>654</v>
      </c>
      <c r="E79" s="129"/>
      <c r="F79" s="126">
        <f>SUM(F80:F81)</f>
        <v>334700</v>
      </c>
    </row>
    <row r="80" spans="1:6" ht="51">
      <c r="A80" s="139" t="s">
        <v>698</v>
      </c>
      <c r="B80" s="127" t="s">
        <v>504</v>
      </c>
      <c r="C80" s="127" t="s">
        <v>98</v>
      </c>
      <c r="D80" s="127" t="s">
        <v>654</v>
      </c>
      <c r="E80" s="129">
        <v>100</v>
      </c>
      <c r="F80" s="138">
        <f>300582-6234.27</f>
        <v>294347.73</v>
      </c>
    </row>
    <row r="81" spans="1:6" ht="25.5">
      <c r="A81" s="139" t="s">
        <v>212</v>
      </c>
      <c r="B81" s="127" t="s">
        <v>504</v>
      </c>
      <c r="C81" s="127" t="s">
        <v>98</v>
      </c>
      <c r="D81" s="127" t="s">
        <v>654</v>
      </c>
      <c r="E81" s="129">
        <v>200</v>
      </c>
      <c r="F81" s="138">
        <f>34118+6234.27</f>
        <v>40352.270000000004</v>
      </c>
    </row>
    <row r="82" spans="1:6" ht="25.5">
      <c r="A82" s="139" t="s">
        <v>494</v>
      </c>
      <c r="B82" s="127" t="s">
        <v>504</v>
      </c>
      <c r="C82" s="127" t="s">
        <v>98</v>
      </c>
      <c r="D82" s="128" t="s">
        <v>493</v>
      </c>
      <c r="E82" s="127"/>
      <c r="F82" s="126">
        <f>F83</f>
        <v>880900</v>
      </c>
    </row>
    <row r="83" spans="1:6" ht="12.75">
      <c r="A83" s="70" t="s">
        <v>492</v>
      </c>
      <c r="B83" s="127" t="s">
        <v>504</v>
      </c>
      <c r="C83" s="127" t="s">
        <v>98</v>
      </c>
      <c r="D83" s="128" t="s">
        <v>491</v>
      </c>
      <c r="E83" s="127"/>
      <c r="F83" s="126">
        <f>F84</f>
        <v>880900</v>
      </c>
    </row>
    <row r="84" spans="1:6" ht="25.5">
      <c r="A84" s="129" t="s">
        <v>34</v>
      </c>
      <c r="B84" s="127" t="s">
        <v>504</v>
      </c>
      <c r="C84" s="127" t="s">
        <v>98</v>
      </c>
      <c r="D84" s="128" t="s">
        <v>679</v>
      </c>
      <c r="E84" s="127"/>
      <c r="F84" s="126">
        <f>F85</f>
        <v>880900</v>
      </c>
    </row>
    <row r="85" spans="1:6" ht="12.75">
      <c r="A85" s="139" t="s">
        <v>75</v>
      </c>
      <c r="B85" s="127" t="s">
        <v>504</v>
      </c>
      <c r="C85" s="127" t="s">
        <v>98</v>
      </c>
      <c r="D85" s="128" t="s">
        <v>679</v>
      </c>
      <c r="E85" s="127">
        <v>800</v>
      </c>
      <c r="F85" s="138">
        <v>880900</v>
      </c>
    </row>
    <row r="86" spans="1:6" ht="25.5">
      <c r="A86" s="130" t="s">
        <v>593</v>
      </c>
      <c r="B86" s="127" t="s">
        <v>504</v>
      </c>
      <c r="C86" s="127" t="s">
        <v>98</v>
      </c>
      <c r="D86" s="128" t="s">
        <v>14</v>
      </c>
      <c r="E86" s="127" t="s">
        <v>85</v>
      </c>
      <c r="F86" s="126">
        <f>F87</f>
        <v>29014649.5</v>
      </c>
    </row>
    <row r="87" spans="1:6" ht="18.75" customHeight="1">
      <c r="A87" s="70" t="s">
        <v>603</v>
      </c>
      <c r="B87" s="127" t="s">
        <v>504</v>
      </c>
      <c r="C87" s="127" t="s">
        <v>98</v>
      </c>
      <c r="D87" s="140" t="s">
        <v>16</v>
      </c>
      <c r="E87" s="129" t="s">
        <v>85</v>
      </c>
      <c r="F87" s="126">
        <f>F88+F92+F95+F97+F100</f>
        <v>29014649.5</v>
      </c>
    </row>
    <row r="88" spans="1:6" ht="25.5">
      <c r="A88" s="129" t="s">
        <v>468</v>
      </c>
      <c r="B88" s="127" t="s">
        <v>504</v>
      </c>
      <c r="C88" s="127" t="s">
        <v>98</v>
      </c>
      <c r="D88" s="128" t="s">
        <v>17</v>
      </c>
      <c r="E88" s="127" t="s">
        <v>85</v>
      </c>
      <c r="F88" s="126">
        <f>SUM(F89:F91)</f>
        <v>22527525</v>
      </c>
    </row>
    <row r="89" spans="1:6" ht="51">
      <c r="A89" s="139" t="s">
        <v>698</v>
      </c>
      <c r="B89" s="127" t="s">
        <v>504</v>
      </c>
      <c r="C89" s="127" t="s">
        <v>98</v>
      </c>
      <c r="D89" s="128" t="s">
        <v>17</v>
      </c>
      <c r="E89" s="127" t="s">
        <v>565</v>
      </c>
      <c r="F89" s="138">
        <f>15786187+4780058+912033</f>
        <v>21478278</v>
      </c>
    </row>
    <row r="90" spans="1:6" ht="25.5">
      <c r="A90" s="139" t="s">
        <v>212</v>
      </c>
      <c r="B90" s="127" t="s">
        <v>504</v>
      </c>
      <c r="C90" s="127" t="s">
        <v>98</v>
      </c>
      <c r="D90" s="128" t="s">
        <v>17</v>
      </c>
      <c r="E90" s="127" t="s">
        <v>72</v>
      </c>
      <c r="F90" s="138">
        <f>29400+15000+350000+540000+68000-1300-1000</f>
        <v>1000100</v>
      </c>
    </row>
    <row r="91" spans="1:6" ht="12.75">
      <c r="A91" s="139" t="s">
        <v>75</v>
      </c>
      <c r="B91" s="127" t="s">
        <v>504</v>
      </c>
      <c r="C91" s="127" t="s">
        <v>98</v>
      </c>
      <c r="D91" s="128" t="s">
        <v>17</v>
      </c>
      <c r="E91" s="127" t="s">
        <v>76</v>
      </c>
      <c r="F91" s="138">
        <f>46847+1300+1000</f>
        <v>49147</v>
      </c>
    </row>
    <row r="92" spans="1:6" ht="25.5">
      <c r="A92" s="129" t="s">
        <v>34</v>
      </c>
      <c r="B92" s="127" t="s">
        <v>504</v>
      </c>
      <c r="C92" s="127" t="s">
        <v>98</v>
      </c>
      <c r="D92" s="128" t="s">
        <v>325</v>
      </c>
      <c r="E92" s="127"/>
      <c r="F92" s="138">
        <f>F94+F93</f>
        <v>5779774.5</v>
      </c>
    </row>
    <row r="93" spans="1:6" ht="12.75" hidden="1">
      <c r="A93" s="129" t="s">
        <v>79</v>
      </c>
      <c r="B93" s="127" t="s">
        <v>504</v>
      </c>
      <c r="C93" s="127" t="s">
        <v>98</v>
      </c>
      <c r="D93" s="128" t="s">
        <v>325</v>
      </c>
      <c r="E93" s="127">
        <v>300</v>
      </c>
      <c r="F93" s="138"/>
    </row>
    <row r="94" spans="1:6" ht="12.75">
      <c r="A94" s="139" t="s">
        <v>75</v>
      </c>
      <c r="B94" s="127" t="s">
        <v>504</v>
      </c>
      <c r="C94" s="127" t="s">
        <v>98</v>
      </c>
      <c r="D94" s="128" t="s">
        <v>325</v>
      </c>
      <c r="E94" s="127">
        <v>800</v>
      </c>
      <c r="F94" s="138">
        <f>3025131.5+1007604+1747039</f>
        <v>5779774.5</v>
      </c>
    </row>
    <row r="95" spans="1:6" ht="25.5">
      <c r="A95" s="129" t="s">
        <v>438</v>
      </c>
      <c r="B95" s="127" t="s">
        <v>504</v>
      </c>
      <c r="C95" s="127" t="s">
        <v>98</v>
      </c>
      <c r="D95" s="128" t="s">
        <v>18</v>
      </c>
      <c r="E95" s="127" t="s">
        <v>85</v>
      </c>
      <c r="F95" s="126">
        <f>F96</f>
        <v>540000</v>
      </c>
    </row>
    <row r="96" spans="1:6" ht="25.5">
      <c r="A96" s="139" t="s">
        <v>212</v>
      </c>
      <c r="B96" s="127" t="s">
        <v>504</v>
      </c>
      <c r="C96" s="127" t="s">
        <v>98</v>
      </c>
      <c r="D96" s="128" t="s">
        <v>18</v>
      </c>
      <c r="E96" s="128">
        <v>200</v>
      </c>
      <c r="F96" s="138">
        <f>350000-60000+250000</f>
        <v>540000</v>
      </c>
    </row>
    <row r="97" spans="1:6" ht="51">
      <c r="A97" s="27" t="s">
        <v>730</v>
      </c>
      <c r="B97" s="127" t="s">
        <v>504</v>
      </c>
      <c r="C97" s="127" t="s">
        <v>98</v>
      </c>
      <c r="D97" s="128" t="s">
        <v>44</v>
      </c>
      <c r="E97" s="128"/>
      <c r="F97" s="126">
        <f>SUM(F98:F99)</f>
        <v>167350</v>
      </c>
    </row>
    <row r="98" spans="1:6" ht="51">
      <c r="A98" s="139" t="s">
        <v>698</v>
      </c>
      <c r="B98" s="127" t="s">
        <v>504</v>
      </c>
      <c r="C98" s="127" t="s">
        <v>98</v>
      </c>
      <c r="D98" s="128" t="s">
        <v>44</v>
      </c>
      <c r="E98" s="128">
        <v>100</v>
      </c>
      <c r="F98" s="138">
        <f>124992+6234.27</f>
        <v>131226.27</v>
      </c>
    </row>
    <row r="99" spans="1:6" ht="25.5">
      <c r="A99" s="125" t="s">
        <v>212</v>
      </c>
      <c r="B99" s="123" t="s">
        <v>504</v>
      </c>
      <c r="C99" s="123" t="s">
        <v>98</v>
      </c>
      <c r="D99" s="124" t="s">
        <v>44</v>
      </c>
      <c r="E99" s="124">
        <v>200</v>
      </c>
      <c r="F99" s="122">
        <f>42358-6234.27</f>
        <v>36123.729999999996</v>
      </c>
    </row>
    <row r="100" spans="1:6" ht="12.75" customHeight="1" hidden="1">
      <c r="A100" s="156" t="s">
        <v>779</v>
      </c>
      <c r="B100" s="127" t="s">
        <v>504</v>
      </c>
      <c r="C100" s="127" t="s">
        <v>98</v>
      </c>
      <c r="D100" s="124" t="s">
        <v>778</v>
      </c>
      <c r="E100" s="155"/>
      <c r="F100" s="154">
        <f>F101</f>
        <v>0</v>
      </c>
    </row>
    <row r="101" spans="1:6" ht="25.5" customHeight="1" hidden="1">
      <c r="A101" s="125" t="s">
        <v>212</v>
      </c>
      <c r="B101" s="123" t="s">
        <v>504</v>
      </c>
      <c r="C101" s="123" t="s">
        <v>98</v>
      </c>
      <c r="D101" s="124" t="s">
        <v>778</v>
      </c>
      <c r="E101" s="124">
        <v>200</v>
      </c>
      <c r="F101" s="122"/>
    </row>
    <row r="102" spans="1:6" ht="12.75">
      <c r="A102" s="136" t="s">
        <v>496</v>
      </c>
      <c r="B102" s="134" t="s">
        <v>506</v>
      </c>
      <c r="C102" s="135" t="s">
        <v>436</v>
      </c>
      <c r="D102" s="134" t="s">
        <v>85</v>
      </c>
      <c r="E102" s="134" t="s">
        <v>85</v>
      </c>
      <c r="F102" s="142">
        <f>F103</f>
        <v>16200</v>
      </c>
    </row>
    <row r="103" spans="1:6" ht="12.75">
      <c r="A103" s="132" t="s">
        <v>495</v>
      </c>
      <c r="B103" s="131" t="s">
        <v>506</v>
      </c>
      <c r="C103" s="131" t="s">
        <v>507</v>
      </c>
      <c r="D103" s="131" t="s">
        <v>85</v>
      </c>
      <c r="E103" s="131" t="s">
        <v>85</v>
      </c>
      <c r="F103" s="126">
        <f>F104</f>
        <v>16200</v>
      </c>
    </row>
    <row r="104" spans="1:6" ht="25.5">
      <c r="A104" s="139" t="s">
        <v>494</v>
      </c>
      <c r="B104" s="127" t="s">
        <v>506</v>
      </c>
      <c r="C104" s="127" t="s">
        <v>507</v>
      </c>
      <c r="D104" s="128" t="s">
        <v>493</v>
      </c>
      <c r="E104" s="127" t="s">
        <v>85</v>
      </c>
      <c r="F104" s="126">
        <f>F105</f>
        <v>16200</v>
      </c>
    </row>
    <row r="105" spans="1:6" ht="12.75">
      <c r="A105" s="139" t="s">
        <v>492</v>
      </c>
      <c r="B105" s="127" t="s">
        <v>506</v>
      </c>
      <c r="C105" s="127" t="s">
        <v>507</v>
      </c>
      <c r="D105" s="128" t="s">
        <v>491</v>
      </c>
      <c r="E105" s="127"/>
      <c r="F105" s="126">
        <f>F106</f>
        <v>16200</v>
      </c>
    </row>
    <row r="106" spans="1:6" ht="25.5">
      <c r="A106" s="28" t="s">
        <v>490</v>
      </c>
      <c r="B106" s="127" t="s">
        <v>506</v>
      </c>
      <c r="C106" s="127" t="s">
        <v>507</v>
      </c>
      <c r="D106" s="128" t="s">
        <v>489</v>
      </c>
      <c r="E106" s="129" t="s">
        <v>85</v>
      </c>
      <c r="F106" s="126">
        <f>F107</f>
        <v>16200</v>
      </c>
    </row>
    <row r="107" spans="1:6" ht="25.5">
      <c r="A107" s="125" t="s">
        <v>89</v>
      </c>
      <c r="B107" s="123" t="s">
        <v>506</v>
      </c>
      <c r="C107" s="123" t="s">
        <v>507</v>
      </c>
      <c r="D107" s="124" t="s">
        <v>489</v>
      </c>
      <c r="E107" s="123">
        <v>200</v>
      </c>
      <c r="F107" s="122">
        <v>16200</v>
      </c>
    </row>
    <row r="108" spans="1:6" ht="25.5">
      <c r="A108" s="136" t="s">
        <v>446</v>
      </c>
      <c r="B108" s="134" t="s">
        <v>99</v>
      </c>
      <c r="C108" s="135" t="s">
        <v>436</v>
      </c>
      <c r="D108" s="134" t="s">
        <v>85</v>
      </c>
      <c r="E108" s="134" t="s">
        <v>85</v>
      </c>
      <c r="F108" s="142">
        <f>F109</f>
        <v>2771627</v>
      </c>
    </row>
    <row r="109" spans="1:6" ht="25.5">
      <c r="A109" s="132" t="s">
        <v>455</v>
      </c>
      <c r="B109" s="131" t="s">
        <v>99</v>
      </c>
      <c r="C109" s="131">
        <v>10</v>
      </c>
      <c r="D109" s="131" t="s">
        <v>85</v>
      </c>
      <c r="E109" s="131" t="s">
        <v>85</v>
      </c>
      <c r="F109" s="126">
        <f>F110</f>
        <v>2771627</v>
      </c>
    </row>
    <row r="110" spans="1:6" ht="51">
      <c r="A110" s="130" t="s">
        <v>456</v>
      </c>
      <c r="B110" s="127" t="s">
        <v>99</v>
      </c>
      <c r="C110" s="127">
        <v>10</v>
      </c>
      <c r="D110" s="128" t="s">
        <v>19</v>
      </c>
      <c r="E110" s="127" t="s">
        <v>85</v>
      </c>
      <c r="F110" s="126">
        <f>F111+F120</f>
        <v>2771627</v>
      </c>
    </row>
    <row r="111" spans="1:6" ht="76.5">
      <c r="A111" s="70" t="s">
        <v>278</v>
      </c>
      <c r="B111" s="127" t="s">
        <v>99</v>
      </c>
      <c r="C111" s="127">
        <v>10</v>
      </c>
      <c r="D111" s="128" t="s">
        <v>845</v>
      </c>
      <c r="E111" s="127"/>
      <c r="F111" s="126">
        <f>F112+F117</f>
        <v>2771627</v>
      </c>
    </row>
    <row r="112" spans="1:6" ht="51">
      <c r="A112" s="28" t="s">
        <v>877</v>
      </c>
      <c r="B112" s="127" t="s">
        <v>99</v>
      </c>
      <c r="C112" s="127">
        <v>10</v>
      </c>
      <c r="D112" s="128" t="s">
        <v>881</v>
      </c>
      <c r="E112" s="127"/>
      <c r="F112" s="126">
        <f>F113+F122</f>
        <v>2671627</v>
      </c>
    </row>
    <row r="113" spans="1:6" ht="25.5">
      <c r="A113" s="129" t="s">
        <v>468</v>
      </c>
      <c r="B113" s="127" t="s">
        <v>99</v>
      </c>
      <c r="C113" s="127">
        <v>10</v>
      </c>
      <c r="D113" s="128" t="s">
        <v>876</v>
      </c>
      <c r="E113" s="127" t="s">
        <v>85</v>
      </c>
      <c r="F113" s="126">
        <f>SUM(F114:F116)</f>
        <v>2671627</v>
      </c>
    </row>
    <row r="114" spans="1:6" ht="51">
      <c r="A114" s="139" t="s">
        <v>698</v>
      </c>
      <c r="B114" s="127" t="s">
        <v>99</v>
      </c>
      <c r="C114" s="127">
        <v>10</v>
      </c>
      <c r="D114" s="128" t="s">
        <v>876</v>
      </c>
      <c r="E114" s="127" t="s">
        <v>565</v>
      </c>
      <c r="F114" s="138">
        <f>1859974+561712-63297+126593</f>
        <v>2484982</v>
      </c>
    </row>
    <row r="115" spans="1:6" ht="25.5">
      <c r="A115" s="139" t="s">
        <v>212</v>
      </c>
      <c r="B115" s="127" t="s">
        <v>99</v>
      </c>
      <c r="C115" s="127">
        <v>10</v>
      </c>
      <c r="D115" s="128" t="s">
        <v>876</v>
      </c>
      <c r="E115" s="127" t="s">
        <v>72</v>
      </c>
      <c r="F115" s="138">
        <v>185445</v>
      </c>
    </row>
    <row r="116" spans="1:6" ht="12.75">
      <c r="A116" s="125" t="s">
        <v>75</v>
      </c>
      <c r="B116" s="123" t="s">
        <v>99</v>
      </c>
      <c r="C116" s="123">
        <v>10</v>
      </c>
      <c r="D116" s="128" t="s">
        <v>876</v>
      </c>
      <c r="E116" s="123" t="s">
        <v>76</v>
      </c>
      <c r="F116" s="122">
        <v>1200</v>
      </c>
    </row>
    <row r="117" spans="1:6" ht="38.25">
      <c r="A117" s="139" t="s">
        <v>844</v>
      </c>
      <c r="B117" s="123" t="s">
        <v>99</v>
      </c>
      <c r="C117" s="123" t="s">
        <v>527</v>
      </c>
      <c r="D117" s="124" t="s">
        <v>846</v>
      </c>
      <c r="E117" s="123"/>
      <c r="F117" s="126">
        <f>F118</f>
        <v>100000</v>
      </c>
    </row>
    <row r="118" spans="1:6" ht="25.5">
      <c r="A118" s="139" t="s">
        <v>255</v>
      </c>
      <c r="B118" s="123" t="s">
        <v>99</v>
      </c>
      <c r="C118" s="123" t="s">
        <v>527</v>
      </c>
      <c r="D118" s="124" t="s">
        <v>847</v>
      </c>
      <c r="E118" s="123"/>
      <c r="F118" s="126">
        <f>F119</f>
        <v>100000</v>
      </c>
    </row>
    <row r="119" spans="1:6" ht="25.5">
      <c r="A119" s="139" t="s">
        <v>148</v>
      </c>
      <c r="B119" s="123" t="s">
        <v>99</v>
      </c>
      <c r="C119" s="123" t="s">
        <v>527</v>
      </c>
      <c r="D119" s="124" t="s">
        <v>847</v>
      </c>
      <c r="E119" s="123" t="s">
        <v>72</v>
      </c>
      <c r="F119" s="122">
        <v>100000</v>
      </c>
    </row>
    <row r="120" spans="1:6" ht="63.75" customHeight="1" hidden="1">
      <c r="A120" s="70" t="s">
        <v>878</v>
      </c>
      <c r="B120" s="127" t="s">
        <v>99</v>
      </c>
      <c r="C120" s="127">
        <v>10</v>
      </c>
      <c r="D120" s="128" t="s">
        <v>20</v>
      </c>
      <c r="E120" s="127"/>
      <c r="F120" s="154">
        <f>F121</f>
        <v>0</v>
      </c>
    </row>
    <row r="121" spans="1:6" ht="25.5" customHeight="1" hidden="1">
      <c r="A121" s="139" t="s">
        <v>879</v>
      </c>
      <c r="B121" s="127" t="s">
        <v>99</v>
      </c>
      <c r="C121" s="127">
        <v>10</v>
      </c>
      <c r="D121" s="124" t="s">
        <v>25</v>
      </c>
      <c r="E121" s="381"/>
      <c r="F121" s="154">
        <f>F122</f>
        <v>0</v>
      </c>
    </row>
    <row r="122" spans="1:6" ht="25.5" customHeight="1" hidden="1">
      <c r="A122" s="139" t="s">
        <v>832</v>
      </c>
      <c r="B122" s="123" t="s">
        <v>99</v>
      </c>
      <c r="C122" s="123">
        <v>10</v>
      </c>
      <c r="D122" s="124" t="s">
        <v>833</v>
      </c>
      <c r="E122" s="127"/>
      <c r="F122" s="138">
        <f>F123</f>
        <v>0</v>
      </c>
    </row>
    <row r="123" spans="1:6" ht="25.5" customHeight="1" hidden="1">
      <c r="A123" s="139" t="s">
        <v>212</v>
      </c>
      <c r="B123" s="123" t="s">
        <v>99</v>
      </c>
      <c r="C123" s="123">
        <v>10</v>
      </c>
      <c r="D123" s="124" t="s">
        <v>833</v>
      </c>
      <c r="E123" s="127">
        <v>200</v>
      </c>
      <c r="F123" s="138"/>
    </row>
    <row r="124" spans="1:6" ht="12.75">
      <c r="A124" s="136" t="s">
        <v>686</v>
      </c>
      <c r="B124" s="134" t="s">
        <v>507</v>
      </c>
      <c r="C124" s="135" t="s">
        <v>436</v>
      </c>
      <c r="D124" s="134" t="s">
        <v>85</v>
      </c>
      <c r="E124" s="134" t="s">
        <v>85</v>
      </c>
      <c r="F124" s="142">
        <f>F125+F142+F161+F136</f>
        <v>64167877.15</v>
      </c>
    </row>
    <row r="125" spans="1:6" ht="12.75">
      <c r="A125" s="132" t="s">
        <v>687</v>
      </c>
      <c r="B125" s="131" t="s">
        <v>507</v>
      </c>
      <c r="C125" s="131" t="s">
        <v>504</v>
      </c>
      <c r="D125" s="131" t="s">
        <v>85</v>
      </c>
      <c r="E125" s="131" t="s">
        <v>85</v>
      </c>
      <c r="F125" s="126">
        <f>F126</f>
        <v>423000</v>
      </c>
    </row>
    <row r="126" spans="1:6" ht="25.5">
      <c r="A126" s="130" t="s">
        <v>665</v>
      </c>
      <c r="B126" s="127" t="s">
        <v>507</v>
      </c>
      <c r="C126" s="127" t="s">
        <v>504</v>
      </c>
      <c r="D126" s="128" t="s">
        <v>21</v>
      </c>
      <c r="E126" s="127" t="s">
        <v>85</v>
      </c>
      <c r="F126" s="126">
        <f>F127+F131</f>
        <v>423000</v>
      </c>
    </row>
    <row r="127" spans="1:6" ht="38.25">
      <c r="A127" s="70" t="s">
        <v>557</v>
      </c>
      <c r="B127" s="127" t="s">
        <v>507</v>
      </c>
      <c r="C127" s="127" t="s">
        <v>504</v>
      </c>
      <c r="D127" s="128" t="s">
        <v>22</v>
      </c>
      <c r="E127" s="127"/>
      <c r="F127" s="126">
        <f>F128</f>
        <v>88300</v>
      </c>
    </row>
    <row r="128" spans="1:6" ht="38.25">
      <c r="A128" s="322" t="s">
        <v>488</v>
      </c>
      <c r="B128" s="127" t="s">
        <v>507</v>
      </c>
      <c r="C128" s="127" t="s">
        <v>504</v>
      </c>
      <c r="D128" s="128" t="s">
        <v>23</v>
      </c>
      <c r="E128" s="127"/>
      <c r="F128" s="126">
        <f>F129</f>
        <v>88300</v>
      </c>
    </row>
    <row r="129" spans="1:6" ht="25.5">
      <c r="A129" s="139" t="s">
        <v>664</v>
      </c>
      <c r="B129" s="127" t="s">
        <v>507</v>
      </c>
      <c r="C129" s="127" t="s">
        <v>504</v>
      </c>
      <c r="D129" s="128" t="s">
        <v>24</v>
      </c>
      <c r="E129" s="127"/>
      <c r="F129" s="126">
        <f>F130</f>
        <v>88300</v>
      </c>
    </row>
    <row r="130" spans="1:6" ht="25.5">
      <c r="A130" s="139" t="s">
        <v>88</v>
      </c>
      <c r="B130" s="127" t="s">
        <v>507</v>
      </c>
      <c r="C130" s="127" t="s">
        <v>504</v>
      </c>
      <c r="D130" s="128" t="s">
        <v>24</v>
      </c>
      <c r="E130" s="127">
        <v>600</v>
      </c>
      <c r="F130" s="138">
        <f>67819+20481</f>
        <v>88300</v>
      </c>
    </row>
    <row r="131" spans="1:6" ht="38.25">
      <c r="A131" s="70" t="s">
        <v>558</v>
      </c>
      <c r="B131" s="127" t="s">
        <v>507</v>
      </c>
      <c r="C131" s="127" t="s">
        <v>504</v>
      </c>
      <c r="D131" s="128" t="s">
        <v>26</v>
      </c>
      <c r="E131" s="127"/>
      <c r="F131" s="126">
        <f>F132</f>
        <v>334700</v>
      </c>
    </row>
    <row r="132" spans="1:6" ht="38.25">
      <c r="A132" s="28" t="s">
        <v>427</v>
      </c>
      <c r="B132" s="127" t="s">
        <v>507</v>
      </c>
      <c r="C132" s="127" t="s">
        <v>504</v>
      </c>
      <c r="D132" s="128" t="s">
        <v>27</v>
      </c>
      <c r="E132" s="127"/>
      <c r="F132" s="126">
        <f>F133</f>
        <v>334700</v>
      </c>
    </row>
    <row r="133" spans="1:6" ht="25.5">
      <c r="A133" s="129" t="s">
        <v>444</v>
      </c>
      <c r="B133" s="127" t="s">
        <v>507</v>
      </c>
      <c r="C133" s="127" t="s">
        <v>504</v>
      </c>
      <c r="D133" s="128" t="s">
        <v>28</v>
      </c>
      <c r="E133" s="127" t="s">
        <v>85</v>
      </c>
      <c r="F133" s="126">
        <f>SUM(F134:F135)</f>
        <v>334700</v>
      </c>
    </row>
    <row r="134" spans="1:6" ht="51">
      <c r="A134" s="139" t="s">
        <v>698</v>
      </c>
      <c r="B134" s="127" t="s">
        <v>507</v>
      </c>
      <c r="C134" s="127" t="s">
        <v>504</v>
      </c>
      <c r="D134" s="128" t="s">
        <v>28</v>
      </c>
      <c r="E134" s="127">
        <v>100</v>
      </c>
      <c r="F134" s="138">
        <f>321700-46176.49</f>
        <v>275523.51</v>
      </c>
    </row>
    <row r="135" spans="1:6" ht="25.5">
      <c r="A135" s="139" t="s">
        <v>212</v>
      </c>
      <c r="B135" s="127" t="s">
        <v>507</v>
      </c>
      <c r="C135" s="127" t="s">
        <v>504</v>
      </c>
      <c r="D135" s="128" t="s">
        <v>28</v>
      </c>
      <c r="E135" s="127">
        <v>200</v>
      </c>
      <c r="F135" s="138">
        <f>13000+46176.49</f>
        <v>59176.49</v>
      </c>
    </row>
    <row r="136" spans="1:6" ht="12.75">
      <c r="A136" s="132" t="s">
        <v>848</v>
      </c>
      <c r="B136" s="131" t="s">
        <v>507</v>
      </c>
      <c r="C136" s="131" t="s">
        <v>526</v>
      </c>
      <c r="D136" s="131"/>
      <c r="E136" s="131"/>
      <c r="F136" s="126">
        <f>F137</f>
        <v>1513276.15</v>
      </c>
    </row>
    <row r="137" spans="1:6" ht="51.75" customHeight="1">
      <c r="A137" s="130" t="s">
        <v>452</v>
      </c>
      <c r="B137" s="127" t="s">
        <v>507</v>
      </c>
      <c r="C137" s="127" t="s">
        <v>526</v>
      </c>
      <c r="D137" s="128" t="s">
        <v>852</v>
      </c>
      <c r="E137" s="127"/>
      <c r="F137" s="126">
        <f>F138</f>
        <v>1513276.15</v>
      </c>
    </row>
    <row r="138" spans="1:6" ht="25.5">
      <c r="A138" s="70" t="s">
        <v>849</v>
      </c>
      <c r="B138" s="127" t="s">
        <v>507</v>
      </c>
      <c r="C138" s="127" t="s">
        <v>526</v>
      </c>
      <c r="D138" s="128" t="s">
        <v>853</v>
      </c>
      <c r="E138" s="127"/>
      <c r="F138" s="126">
        <f>F139</f>
        <v>1513276.15</v>
      </c>
    </row>
    <row r="139" spans="1:6" ht="38.25">
      <c r="A139" s="139" t="s">
        <v>850</v>
      </c>
      <c r="B139" s="127" t="s">
        <v>507</v>
      </c>
      <c r="C139" s="127" t="s">
        <v>526</v>
      </c>
      <c r="D139" s="128" t="s">
        <v>854</v>
      </c>
      <c r="E139" s="127"/>
      <c r="F139" s="138">
        <f>F140</f>
        <v>1513276.15</v>
      </c>
    </row>
    <row r="140" spans="1:6" ht="12.75">
      <c r="A140" s="139" t="s">
        <v>851</v>
      </c>
      <c r="B140" s="127" t="s">
        <v>507</v>
      </c>
      <c r="C140" s="127" t="s">
        <v>526</v>
      </c>
      <c r="D140" s="128" t="s">
        <v>855</v>
      </c>
      <c r="E140" s="127"/>
      <c r="F140" s="138">
        <f>F141</f>
        <v>1513276.15</v>
      </c>
    </row>
    <row r="141" spans="1:6" ht="25.5">
      <c r="A141" s="139" t="s">
        <v>212</v>
      </c>
      <c r="B141" s="127" t="s">
        <v>507</v>
      </c>
      <c r="C141" s="127" t="s">
        <v>526</v>
      </c>
      <c r="D141" s="128" t="s">
        <v>855</v>
      </c>
      <c r="E141" s="127" t="s">
        <v>72</v>
      </c>
      <c r="F141" s="138">
        <v>1513276.15</v>
      </c>
    </row>
    <row r="142" spans="1:6" ht="12.75">
      <c r="A142" s="132" t="s">
        <v>84</v>
      </c>
      <c r="B142" s="131" t="s">
        <v>507</v>
      </c>
      <c r="C142" s="131" t="s">
        <v>100</v>
      </c>
      <c r="D142" s="131" t="s">
        <v>85</v>
      </c>
      <c r="E142" s="131" t="s">
        <v>85</v>
      </c>
      <c r="F142" s="126">
        <f>F143</f>
        <v>61831601</v>
      </c>
    </row>
    <row r="143" spans="1:6" ht="50.25" customHeight="1">
      <c r="A143" s="130" t="s">
        <v>452</v>
      </c>
      <c r="B143" s="127" t="s">
        <v>507</v>
      </c>
      <c r="C143" s="127" t="s">
        <v>100</v>
      </c>
      <c r="D143" s="128" t="s">
        <v>29</v>
      </c>
      <c r="E143" s="127" t="s">
        <v>85</v>
      </c>
      <c r="F143" s="126">
        <f>F144+F157</f>
        <v>61831601</v>
      </c>
    </row>
    <row r="144" spans="1:6" ht="63.75">
      <c r="A144" s="70" t="s">
        <v>45</v>
      </c>
      <c r="B144" s="127" t="s">
        <v>507</v>
      </c>
      <c r="C144" s="127" t="s">
        <v>100</v>
      </c>
      <c r="D144" s="140" t="s">
        <v>217</v>
      </c>
      <c r="E144" s="129" t="s">
        <v>85</v>
      </c>
      <c r="F144" s="126">
        <f>F145+F149+F154</f>
        <v>61631329</v>
      </c>
    </row>
    <row r="145" spans="1:6" ht="25.5">
      <c r="A145" s="32" t="s">
        <v>216</v>
      </c>
      <c r="B145" s="127" t="s">
        <v>507</v>
      </c>
      <c r="C145" s="127" t="s">
        <v>100</v>
      </c>
      <c r="D145" s="128" t="s">
        <v>215</v>
      </c>
      <c r="E145" s="129"/>
      <c r="F145" s="126">
        <f>F146</f>
        <v>1069302.67</v>
      </c>
    </row>
    <row r="146" spans="1:6" ht="25.5">
      <c r="A146" s="28" t="s">
        <v>31</v>
      </c>
      <c r="B146" s="127" t="s">
        <v>507</v>
      </c>
      <c r="C146" s="127" t="s">
        <v>100</v>
      </c>
      <c r="D146" s="128" t="s">
        <v>214</v>
      </c>
      <c r="E146" s="129"/>
      <c r="F146" s="126">
        <f>F147+F148</f>
        <v>1069302.67</v>
      </c>
    </row>
    <row r="147" spans="1:6" ht="25.5" customHeight="1" hidden="1">
      <c r="A147" s="73" t="s">
        <v>212</v>
      </c>
      <c r="B147" s="127" t="s">
        <v>507</v>
      </c>
      <c r="C147" s="127" t="s">
        <v>100</v>
      </c>
      <c r="D147" s="128" t="s">
        <v>214</v>
      </c>
      <c r="E147" s="129">
        <v>200</v>
      </c>
      <c r="F147" s="138"/>
    </row>
    <row r="148" spans="1:6" ht="12.75">
      <c r="A148" s="139" t="s">
        <v>75</v>
      </c>
      <c r="B148" s="127" t="s">
        <v>507</v>
      </c>
      <c r="C148" s="127" t="s">
        <v>100</v>
      </c>
      <c r="D148" s="128" t="s">
        <v>214</v>
      </c>
      <c r="E148" s="129">
        <v>800</v>
      </c>
      <c r="F148" s="138">
        <f>526074.67-200272+743500-200272+200272</f>
        <v>1069302.67</v>
      </c>
    </row>
    <row r="149" spans="1:6" ht="25.5">
      <c r="A149" s="322" t="s">
        <v>213</v>
      </c>
      <c r="B149" s="127" t="s">
        <v>507</v>
      </c>
      <c r="C149" s="127" t="s">
        <v>100</v>
      </c>
      <c r="D149" s="128" t="s">
        <v>234</v>
      </c>
      <c r="E149" s="129"/>
      <c r="F149" s="126">
        <f>F152+F150</f>
        <v>60562026.33</v>
      </c>
    </row>
    <row r="150" spans="1:6" ht="38.25">
      <c r="A150" s="94" t="s">
        <v>595</v>
      </c>
      <c r="B150" s="95" t="s">
        <v>507</v>
      </c>
      <c r="C150" s="95" t="s">
        <v>100</v>
      </c>
      <c r="D150" s="96" t="s">
        <v>145</v>
      </c>
      <c r="E150" s="97"/>
      <c r="F150" s="126">
        <f>F151</f>
        <v>57294342</v>
      </c>
    </row>
    <row r="151" spans="1:6" ht="25.5">
      <c r="A151" s="98" t="s">
        <v>212</v>
      </c>
      <c r="B151" s="95" t="s">
        <v>507</v>
      </c>
      <c r="C151" s="95" t="s">
        <v>100</v>
      </c>
      <c r="D151" s="96" t="s">
        <v>145</v>
      </c>
      <c r="E151" s="99">
        <v>200</v>
      </c>
      <c r="F151" s="126">
        <v>57294342</v>
      </c>
    </row>
    <row r="152" spans="1:6" ht="38.25">
      <c r="A152" s="49" t="s">
        <v>595</v>
      </c>
      <c r="B152" s="127" t="s">
        <v>507</v>
      </c>
      <c r="C152" s="127" t="s">
        <v>100</v>
      </c>
      <c r="D152" s="100" t="s">
        <v>594</v>
      </c>
      <c r="E152" s="127" t="s">
        <v>85</v>
      </c>
      <c r="F152" s="126">
        <f>F153</f>
        <v>3267684.33</v>
      </c>
    </row>
    <row r="153" spans="1:6" ht="25.5">
      <c r="A153" s="139" t="s">
        <v>212</v>
      </c>
      <c r="B153" s="127" t="s">
        <v>507</v>
      </c>
      <c r="C153" s="127" t="s">
        <v>100</v>
      </c>
      <c r="D153" s="100" t="s">
        <v>594</v>
      </c>
      <c r="E153" s="127">
        <v>200</v>
      </c>
      <c r="F153" s="138">
        <f>1864997.33+533098+567572+101745+200272</f>
        <v>3267684.33</v>
      </c>
    </row>
    <row r="154" spans="1:6" ht="38.25" customHeight="1" hidden="1">
      <c r="A154" s="139" t="s">
        <v>63</v>
      </c>
      <c r="B154" s="127" t="s">
        <v>507</v>
      </c>
      <c r="C154" s="127" t="s">
        <v>100</v>
      </c>
      <c r="D154" s="128" t="s">
        <v>64</v>
      </c>
      <c r="E154" s="127"/>
      <c r="F154" s="126">
        <f>F155</f>
        <v>0</v>
      </c>
    </row>
    <row r="155" spans="1:6" ht="24" customHeight="1" hidden="1">
      <c r="A155" s="323" t="s">
        <v>707</v>
      </c>
      <c r="B155" s="127" t="s">
        <v>507</v>
      </c>
      <c r="C155" s="127" t="s">
        <v>100</v>
      </c>
      <c r="D155" s="128" t="s">
        <v>708</v>
      </c>
      <c r="E155" s="127"/>
      <c r="F155" s="126">
        <f>F156</f>
        <v>0</v>
      </c>
    </row>
    <row r="156" spans="1:6" ht="25.5" customHeight="1" hidden="1">
      <c r="A156" s="139" t="s">
        <v>205</v>
      </c>
      <c r="B156" s="127" t="s">
        <v>507</v>
      </c>
      <c r="C156" s="127" t="s">
        <v>100</v>
      </c>
      <c r="D156" s="128" t="s">
        <v>708</v>
      </c>
      <c r="E156" s="127">
        <v>400</v>
      </c>
      <c r="F156" s="138"/>
    </row>
    <row r="157" spans="1:6" ht="63.75">
      <c r="A157" s="70" t="s">
        <v>244</v>
      </c>
      <c r="B157" s="127" t="s">
        <v>507</v>
      </c>
      <c r="C157" s="127" t="s">
        <v>100</v>
      </c>
      <c r="D157" s="140" t="s">
        <v>30</v>
      </c>
      <c r="E157" s="127"/>
      <c r="F157" s="126">
        <f>F158</f>
        <v>200272</v>
      </c>
    </row>
    <row r="158" spans="1:6" ht="51">
      <c r="A158" s="322" t="s">
        <v>97</v>
      </c>
      <c r="B158" s="127" t="s">
        <v>507</v>
      </c>
      <c r="C158" s="127" t="s">
        <v>100</v>
      </c>
      <c r="D158" s="128" t="s">
        <v>423</v>
      </c>
      <c r="E158" s="127"/>
      <c r="F158" s="126">
        <f>F159</f>
        <v>200272</v>
      </c>
    </row>
    <row r="159" spans="1:6" ht="38.25">
      <c r="A159" s="28" t="s">
        <v>596</v>
      </c>
      <c r="B159" s="127" t="s">
        <v>507</v>
      </c>
      <c r="C159" s="127" t="s">
        <v>100</v>
      </c>
      <c r="D159" s="128" t="s">
        <v>331</v>
      </c>
      <c r="E159" s="127"/>
      <c r="F159" s="126">
        <f>F160</f>
        <v>200272</v>
      </c>
    </row>
    <row r="160" spans="1:6" ht="12.75">
      <c r="A160" s="139" t="s">
        <v>75</v>
      </c>
      <c r="B160" s="127" t="s">
        <v>507</v>
      </c>
      <c r="C160" s="127" t="s">
        <v>100</v>
      </c>
      <c r="D160" s="128" t="s">
        <v>331</v>
      </c>
      <c r="E160" s="127">
        <v>800</v>
      </c>
      <c r="F160" s="138">
        <f>200272+200272-200272</f>
        <v>200272</v>
      </c>
    </row>
    <row r="161" spans="1:6" ht="12.75">
      <c r="A161" s="70" t="s">
        <v>524</v>
      </c>
      <c r="B161" s="131" t="s">
        <v>507</v>
      </c>
      <c r="C161" s="131">
        <v>12</v>
      </c>
      <c r="D161" s="140"/>
      <c r="E161" s="131"/>
      <c r="F161" s="126">
        <f>F162+F166</f>
        <v>400000</v>
      </c>
    </row>
    <row r="162" spans="1:6" ht="38.25" hidden="1">
      <c r="A162" s="130" t="s">
        <v>46</v>
      </c>
      <c r="B162" s="127" t="s">
        <v>507</v>
      </c>
      <c r="C162" s="127">
        <v>12</v>
      </c>
      <c r="D162" s="128" t="s">
        <v>597</v>
      </c>
      <c r="E162" s="127"/>
      <c r="F162" s="126">
        <f>F163</f>
        <v>0</v>
      </c>
    </row>
    <row r="163" spans="1:6" ht="25.5" hidden="1">
      <c r="A163" s="28" t="s">
        <v>907</v>
      </c>
      <c r="B163" s="127" t="s">
        <v>507</v>
      </c>
      <c r="C163" s="127">
        <v>12</v>
      </c>
      <c r="D163" s="128" t="s">
        <v>599</v>
      </c>
      <c r="E163" s="127"/>
      <c r="F163" s="126">
        <f>F164</f>
        <v>0</v>
      </c>
    </row>
    <row r="164" spans="1:6" ht="25.5" hidden="1">
      <c r="A164" s="28" t="s">
        <v>598</v>
      </c>
      <c r="B164" s="127" t="s">
        <v>507</v>
      </c>
      <c r="C164" s="127">
        <v>12</v>
      </c>
      <c r="D164" s="128" t="s">
        <v>96</v>
      </c>
      <c r="E164" s="127"/>
      <c r="F164" s="126">
        <f>F165</f>
        <v>0</v>
      </c>
    </row>
    <row r="165" spans="1:6" ht="12.75" hidden="1">
      <c r="A165" s="139" t="s">
        <v>75</v>
      </c>
      <c r="B165" s="127" t="s">
        <v>507</v>
      </c>
      <c r="C165" s="127">
        <v>12</v>
      </c>
      <c r="D165" s="128" t="s">
        <v>96</v>
      </c>
      <c r="E165" s="127">
        <v>800</v>
      </c>
      <c r="F165" s="138">
        <f>20000+35000-55000</f>
        <v>0</v>
      </c>
    </row>
    <row r="166" spans="1:6" ht="25.5">
      <c r="A166" s="74" t="s">
        <v>593</v>
      </c>
      <c r="B166" s="71" t="s">
        <v>507</v>
      </c>
      <c r="C166" s="71">
        <v>12</v>
      </c>
      <c r="D166" s="100" t="s">
        <v>14</v>
      </c>
      <c r="E166" s="71"/>
      <c r="F166" s="77">
        <f>F167</f>
        <v>400000</v>
      </c>
    </row>
    <row r="167" spans="1:6" ht="19.5" customHeight="1">
      <c r="A167" s="75" t="s">
        <v>603</v>
      </c>
      <c r="B167" s="71" t="s">
        <v>507</v>
      </c>
      <c r="C167" s="71">
        <v>12</v>
      </c>
      <c r="D167" s="76" t="s">
        <v>16</v>
      </c>
      <c r="E167" s="71"/>
      <c r="F167" s="77">
        <f>F168+F170</f>
        <v>400000</v>
      </c>
    </row>
    <row r="168" spans="1:6" ht="25.5">
      <c r="A168" s="73" t="s">
        <v>94</v>
      </c>
      <c r="B168" s="71" t="s">
        <v>507</v>
      </c>
      <c r="C168" s="71">
        <v>12</v>
      </c>
      <c r="D168" s="100" t="s">
        <v>95</v>
      </c>
      <c r="E168" s="71"/>
      <c r="F168" s="77">
        <f>F169</f>
        <v>400000</v>
      </c>
    </row>
    <row r="169" spans="1:6" ht="25.5">
      <c r="A169" s="73" t="s">
        <v>212</v>
      </c>
      <c r="B169" s="71" t="s">
        <v>507</v>
      </c>
      <c r="C169" s="71">
        <v>12</v>
      </c>
      <c r="D169" s="100" t="s">
        <v>95</v>
      </c>
      <c r="E169" s="71">
        <v>200</v>
      </c>
      <c r="F169" s="77">
        <v>400000</v>
      </c>
    </row>
    <row r="170" spans="1:6" ht="25.5" hidden="1">
      <c r="A170" s="129" t="s">
        <v>34</v>
      </c>
      <c r="B170" s="71" t="s">
        <v>507</v>
      </c>
      <c r="C170" s="71">
        <v>12</v>
      </c>
      <c r="D170" s="100" t="s">
        <v>325</v>
      </c>
      <c r="E170" s="71"/>
      <c r="F170" s="77">
        <f>F171</f>
        <v>0</v>
      </c>
    </row>
    <row r="171" spans="1:6" ht="25.5" hidden="1">
      <c r="A171" s="73" t="s">
        <v>212</v>
      </c>
      <c r="B171" s="71" t="s">
        <v>507</v>
      </c>
      <c r="C171" s="71">
        <v>12</v>
      </c>
      <c r="D171" s="100" t="s">
        <v>325</v>
      </c>
      <c r="E171" s="71">
        <v>200</v>
      </c>
      <c r="F171" s="77">
        <f>141667+150000-35000-256667</f>
        <v>0</v>
      </c>
    </row>
    <row r="172" spans="1:6" ht="12.75">
      <c r="A172" s="136" t="s">
        <v>512</v>
      </c>
      <c r="B172" s="134" t="s">
        <v>620</v>
      </c>
      <c r="C172" s="135" t="s">
        <v>436</v>
      </c>
      <c r="D172" s="134" t="s">
        <v>85</v>
      </c>
      <c r="E172" s="134" t="s">
        <v>85</v>
      </c>
      <c r="F172" s="142">
        <f>F173+F199+F193</f>
        <v>87664320.34</v>
      </c>
    </row>
    <row r="173" spans="1:6" ht="12.75">
      <c r="A173" s="132" t="s">
        <v>219</v>
      </c>
      <c r="B173" s="131" t="s">
        <v>620</v>
      </c>
      <c r="C173" s="153" t="s">
        <v>504</v>
      </c>
      <c r="D173" s="152"/>
      <c r="E173" s="152"/>
      <c r="F173" s="126">
        <f>F174</f>
        <v>70086376.36</v>
      </c>
    </row>
    <row r="174" spans="1:6" ht="51">
      <c r="A174" s="130" t="s">
        <v>453</v>
      </c>
      <c r="B174" s="127" t="s">
        <v>620</v>
      </c>
      <c r="C174" s="144" t="s">
        <v>504</v>
      </c>
      <c r="D174" s="128" t="s">
        <v>32</v>
      </c>
      <c r="E174" s="152"/>
      <c r="F174" s="126">
        <f>F175+F189</f>
        <v>70086376.36</v>
      </c>
    </row>
    <row r="175" spans="1:6" ht="76.5">
      <c r="A175" s="70" t="s">
        <v>199</v>
      </c>
      <c r="B175" s="127" t="s">
        <v>620</v>
      </c>
      <c r="C175" s="144" t="s">
        <v>504</v>
      </c>
      <c r="D175" s="128" t="s">
        <v>200</v>
      </c>
      <c r="E175" s="152"/>
      <c r="F175" s="126">
        <f>F179+F176+F186</f>
        <v>69423376.36</v>
      </c>
    </row>
    <row r="176" spans="1:6" ht="22.5">
      <c r="A176" s="421" t="s">
        <v>934</v>
      </c>
      <c r="B176" s="127" t="s">
        <v>620</v>
      </c>
      <c r="C176" s="144" t="s">
        <v>504</v>
      </c>
      <c r="D176" s="128" t="s">
        <v>202</v>
      </c>
      <c r="E176" s="152"/>
      <c r="F176" s="126">
        <f>F177</f>
        <v>30000</v>
      </c>
    </row>
    <row r="177" spans="1:6" ht="22.5">
      <c r="A177" s="422" t="s">
        <v>935</v>
      </c>
      <c r="B177" s="127" t="s">
        <v>620</v>
      </c>
      <c r="C177" s="144" t="s">
        <v>504</v>
      </c>
      <c r="D177" s="128" t="s">
        <v>936</v>
      </c>
      <c r="E177" s="152"/>
      <c r="F177" s="126">
        <f>F178</f>
        <v>30000</v>
      </c>
    </row>
    <row r="178" spans="1:6" ht="25.5">
      <c r="A178" s="423" t="s">
        <v>212</v>
      </c>
      <c r="B178" s="127" t="s">
        <v>620</v>
      </c>
      <c r="C178" s="144" t="s">
        <v>504</v>
      </c>
      <c r="D178" s="128" t="s">
        <v>936</v>
      </c>
      <c r="E178" s="127">
        <v>200</v>
      </c>
      <c r="F178" s="126">
        <v>30000</v>
      </c>
    </row>
    <row r="179" spans="1:6" ht="30.75" customHeight="1">
      <c r="A179" s="324" t="s">
        <v>712</v>
      </c>
      <c r="B179" s="127" t="s">
        <v>620</v>
      </c>
      <c r="C179" s="144" t="s">
        <v>504</v>
      </c>
      <c r="D179" s="128" t="s">
        <v>62</v>
      </c>
      <c r="E179" s="152"/>
      <c r="F179" s="126">
        <f>F180+F182+F184</f>
        <v>69303376.36</v>
      </c>
    </row>
    <row r="180" spans="1:6" ht="38.25">
      <c r="A180" s="324" t="s">
        <v>90</v>
      </c>
      <c r="B180" s="127" t="s">
        <v>620</v>
      </c>
      <c r="C180" s="144" t="s">
        <v>504</v>
      </c>
      <c r="D180" s="128" t="s">
        <v>668</v>
      </c>
      <c r="E180" s="152"/>
      <c r="F180" s="126">
        <f>F181</f>
        <v>35871602.67</v>
      </c>
    </row>
    <row r="181" spans="1:6" ht="25.5">
      <c r="A181" s="139" t="s">
        <v>205</v>
      </c>
      <c r="B181" s="127" t="s">
        <v>620</v>
      </c>
      <c r="C181" s="144" t="s">
        <v>504</v>
      </c>
      <c r="D181" s="128" t="s">
        <v>668</v>
      </c>
      <c r="E181" s="127">
        <v>400</v>
      </c>
      <c r="F181" s="126">
        <v>35871602.67</v>
      </c>
    </row>
    <row r="182" spans="1:6" ht="25.5">
      <c r="A182" s="324" t="s">
        <v>91</v>
      </c>
      <c r="B182" s="127" t="s">
        <v>620</v>
      </c>
      <c r="C182" s="144" t="s">
        <v>504</v>
      </c>
      <c r="D182" s="128" t="s">
        <v>669</v>
      </c>
      <c r="E182" s="152"/>
      <c r="F182" s="126">
        <f>F183</f>
        <v>18972534.33</v>
      </c>
    </row>
    <row r="183" spans="1:6" ht="25.5">
      <c r="A183" s="139" t="s">
        <v>205</v>
      </c>
      <c r="B183" s="127" t="s">
        <v>620</v>
      </c>
      <c r="C183" s="144" t="s">
        <v>504</v>
      </c>
      <c r="D183" s="128" t="s">
        <v>669</v>
      </c>
      <c r="E183" s="127">
        <v>400</v>
      </c>
      <c r="F183" s="126">
        <v>18972534.33</v>
      </c>
    </row>
    <row r="184" spans="1:6" ht="63.75">
      <c r="A184" s="28" t="s">
        <v>65</v>
      </c>
      <c r="B184" s="127" t="s">
        <v>620</v>
      </c>
      <c r="C184" s="144" t="s">
        <v>504</v>
      </c>
      <c r="D184" s="128" t="s">
        <v>276</v>
      </c>
      <c r="E184" s="152"/>
      <c r="F184" s="126">
        <f>F185</f>
        <v>14459239.36</v>
      </c>
    </row>
    <row r="185" spans="1:6" ht="25.5">
      <c r="A185" s="139" t="s">
        <v>205</v>
      </c>
      <c r="B185" s="127" t="s">
        <v>620</v>
      </c>
      <c r="C185" s="144" t="s">
        <v>504</v>
      </c>
      <c r="D185" s="128" t="s">
        <v>276</v>
      </c>
      <c r="E185" s="127">
        <v>400</v>
      </c>
      <c r="F185" s="138">
        <v>14459239.36</v>
      </c>
    </row>
    <row r="186" spans="1:6" ht="38.25">
      <c r="A186" s="139" t="s">
        <v>969</v>
      </c>
      <c r="B186" s="127" t="s">
        <v>620</v>
      </c>
      <c r="C186" s="144" t="s">
        <v>504</v>
      </c>
      <c r="D186" s="128" t="s">
        <v>970</v>
      </c>
      <c r="E186" s="127"/>
      <c r="F186" s="138">
        <f>F187</f>
        <v>90000</v>
      </c>
    </row>
    <row r="187" spans="1:6" ht="25.5">
      <c r="A187" s="139" t="s">
        <v>935</v>
      </c>
      <c r="B187" s="127" t="s">
        <v>620</v>
      </c>
      <c r="C187" s="144" t="s">
        <v>504</v>
      </c>
      <c r="D187" s="128" t="s">
        <v>971</v>
      </c>
      <c r="E187" s="127"/>
      <c r="F187" s="138">
        <f>F188</f>
        <v>90000</v>
      </c>
    </row>
    <row r="188" spans="1:6" ht="25.5">
      <c r="A188" s="139" t="s">
        <v>212</v>
      </c>
      <c r="B188" s="127" t="s">
        <v>620</v>
      </c>
      <c r="C188" s="144" t="s">
        <v>504</v>
      </c>
      <c r="D188" s="128" t="s">
        <v>971</v>
      </c>
      <c r="E188" s="127" t="s">
        <v>72</v>
      </c>
      <c r="F188" s="138">
        <v>90000</v>
      </c>
    </row>
    <row r="189" spans="1:6" ht="67.5" customHeight="1">
      <c r="A189" s="70" t="s">
        <v>454</v>
      </c>
      <c r="B189" s="127" t="s">
        <v>620</v>
      </c>
      <c r="C189" s="144" t="s">
        <v>504</v>
      </c>
      <c r="D189" s="140" t="s">
        <v>529</v>
      </c>
      <c r="E189" s="152"/>
      <c r="F189" s="126">
        <f>F190</f>
        <v>663000</v>
      </c>
    </row>
    <row r="190" spans="1:6" ht="25.5">
      <c r="A190" s="28" t="s">
        <v>218</v>
      </c>
      <c r="B190" s="127" t="s">
        <v>620</v>
      </c>
      <c r="C190" s="144" t="s">
        <v>504</v>
      </c>
      <c r="D190" s="128" t="s">
        <v>251</v>
      </c>
      <c r="E190" s="152"/>
      <c r="F190" s="126">
        <f>F191</f>
        <v>663000</v>
      </c>
    </row>
    <row r="191" spans="1:6" ht="24">
      <c r="A191" s="323" t="s">
        <v>250</v>
      </c>
      <c r="B191" s="127" t="s">
        <v>620</v>
      </c>
      <c r="C191" s="144" t="s">
        <v>504</v>
      </c>
      <c r="D191" s="128" t="s">
        <v>249</v>
      </c>
      <c r="E191" s="152"/>
      <c r="F191" s="126">
        <f>SUM(F192:F192)</f>
        <v>663000</v>
      </c>
    </row>
    <row r="192" spans="1:6" ht="25.5">
      <c r="A192" s="139" t="s">
        <v>212</v>
      </c>
      <c r="B192" s="127" t="s">
        <v>620</v>
      </c>
      <c r="C192" s="144" t="s">
        <v>504</v>
      </c>
      <c r="D192" s="128" t="s">
        <v>249</v>
      </c>
      <c r="E192" s="127">
        <v>200</v>
      </c>
      <c r="F192" s="138">
        <v>663000</v>
      </c>
    </row>
    <row r="193" spans="1:6" ht="12.75">
      <c r="A193" s="132" t="s">
        <v>894</v>
      </c>
      <c r="B193" s="131" t="s">
        <v>620</v>
      </c>
      <c r="C193" s="131" t="s">
        <v>506</v>
      </c>
      <c r="D193" s="131"/>
      <c r="E193" s="131"/>
      <c r="F193" s="126">
        <f>F194</f>
        <v>364664.94</v>
      </c>
    </row>
    <row r="194" spans="1:6" ht="51">
      <c r="A194" s="130" t="s">
        <v>895</v>
      </c>
      <c r="B194" s="127" t="s">
        <v>620</v>
      </c>
      <c r="C194" s="144" t="s">
        <v>506</v>
      </c>
      <c r="D194" s="128" t="s">
        <v>32</v>
      </c>
      <c r="E194" s="152"/>
      <c r="F194" s="126">
        <f>F195</f>
        <v>364664.94</v>
      </c>
    </row>
    <row r="195" spans="1:6" ht="65.25" customHeight="1">
      <c r="A195" s="70" t="s">
        <v>896</v>
      </c>
      <c r="B195" s="127" t="s">
        <v>620</v>
      </c>
      <c r="C195" s="144" t="s">
        <v>506</v>
      </c>
      <c r="D195" s="140" t="s">
        <v>529</v>
      </c>
      <c r="E195" s="152"/>
      <c r="F195" s="126">
        <f>F196</f>
        <v>364664.94</v>
      </c>
    </row>
    <row r="196" spans="1:6" ht="25.5">
      <c r="A196" s="28" t="s">
        <v>897</v>
      </c>
      <c r="B196" s="127" t="s">
        <v>620</v>
      </c>
      <c r="C196" s="144" t="s">
        <v>506</v>
      </c>
      <c r="D196" s="128" t="s">
        <v>899</v>
      </c>
      <c r="E196" s="152"/>
      <c r="F196" s="126">
        <f>F197</f>
        <v>364664.94</v>
      </c>
    </row>
    <row r="197" spans="1:6" ht="12.75">
      <c r="A197" s="28" t="s">
        <v>898</v>
      </c>
      <c r="B197" s="127" t="s">
        <v>620</v>
      </c>
      <c r="C197" s="144" t="s">
        <v>506</v>
      </c>
      <c r="D197" s="128" t="s">
        <v>900</v>
      </c>
      <c r="E197" s="152"/>
      <c r="F197" s="126">
        <f>F198</f>
        <v>364664.94</v>
      </c>
    </row>
    <row r="198" spans="1:6" ht="25.5">
      <c r="A198" s="28" t="s">
        <v>212</v>
      </c>
      <c r="B198" s="127" t="s">
        <v>620</v>
      </c>
      <c r="C198" s="144" t="s">
        <v>506</v>
      </c>
      <c r="D198" s="128" t="s">
        <v>900</v>
      </c>
      <c r="E198" s="127" t="s">
        <v>72</v>
      </c>
      <c r="F198" s="126">
        <v>364664.94</v>
      </c>
    </row>
    <row r="199" spans="1:6" ht="12.75">
      <c r="A199" s="132" t="s">
        <v>533</v>
      </c>
      <c r="B199" s="131" t="s">
        <v>620</v>
      </c>
      <c r="C199" s="131" t="s">
        <v>99</v>
      </c>
      <c r="D199" s="131" t="s">
        <v>85</v>
      </c>
      <c r="E199" s="131" t="s">
        <v>85</v>
      </c>
      <c r="F199" s="126">
        <f>F200+F210+F219</f>
        <v>17213279.04</v>
      </c>
    </row>
    <row r="200" spans="1:6" ht="51">
      <c r="A200" s="130" t="s">
        <v>453</v>
      </c>
      <c r="B200" s="127" t="s">
        <v>620</v>
      </c>
      <c r="C200" s="127" t="s">
        <v>99</v>
      </c>
      <c r="D200" s="128" t="s">
        <v>32</v>
      </c>
      <c r="E200" s="127" t="s">
        <v>85</v>
      </c>
      <c r="F200" s="126">
        <f>F201</f>
        <v>11589350.08</v>
      </c>
    </row>
    <row r="201" spans="1:6" ht="66" customHeight="1">
      <c r="A201" s="70" t="s">
        <v>454</v>
      </c>
      <c r="B201" s="127" t="s">
        <v>620</v>
      </c>
      <c r="C201" s="127" t="s">
        <v>99</v>
      </c>
      <c r="D201" s="140" t="s">
        <v>529</v>
      </c>
      <c r="E201" s="129" t="s">
        <v>85</v>
      </c>
      <c r="F201" s="126">
        <f>F202</f>
        <v>11589350.08</v>
      </c>
    </row>
    <row r="202" spans="1:6" ht="25.5">
      <c r="A202" s="28" t="s">
        <v>337</v>
      </c>
      <c r="B202" s="127" t="s">
        <v>620</v>
      </c>
      <c r="C202" s="127" t="s">
        <v>99</v>
      </c>
      <c r="D202" s="128" t="s">
        <v>428</v>
      </c>
      <c r="E202" s="129"/>
      <c r="F202" s="126">
        <f>F203+F206+F208</f>
        <v>11589350.08</v>
      </c>
    </row>
    <row r="203" spans="1:6" ht="12.75">
      <c r="A203" s="28" t="s">
        <v>695</v>
      </c>
      <c r="B203" s="127" t="s">
        <v>620</v>
      </c>
      <c r="C203" s="127" t="s">
        <v>99</v>
      </c>
      <c r="D203" s="128" t="s">
        <v>429</v>
      </c>
      <c r="E203" s="127" t="s">
        <v>85</v>
      </c>
      <c r="F203" s="126">
        <f>SUM(F204:F205)</f>
        <v>11589350.08</v>
      </c>
    </row>
    <row r="204" spans="1:6" ht="25.5">
      <c r="A204" s="139" t="s">
        <v>212</v>
      </c>
      <c r="B204" s="127" t="s">
        <v>620</v>
      </c>
      <c r="C204" s="127" t="s">
        <v>99</v>
      </c>
      <c r="D204" s="128" t="s">
        <v>429</v>
      </c>
      <c r="E204" s="127">
        <v>200</v>
      </c>
      <c r="F204" s="138">
        <v>3730774.23</v>
      </c>
    </row>
    <row r="205" spans="1:6" ht="12.75">
      <c r="A205" s="139" t="s">
        <v>75</v>
      </c>
      <c r="B205" s="127" t="s">
        <v>620</v>
      </c>
      <c r="C205" s="127" t="s">
        <v>99</v>
      </c>
      <c r="D205" s="128" t="s">
        <v>429</v>
      </c>
      <c r="E205" s="127">
        <v>800</v>
      </c>
      <c r="F205" s="138">
        <v>7858575.85</v>
      </c>
    </row>
    <row r="206" spans="1:6" ht="12.75" customHeight="1" hidden="1">
      <c r="A206" s="139" t="s">
        <v>777</v>
      </c>
      <c r="B206" s="127" t="s">
        <v>620</v>
      </c>
      <c r="C206" s="127" t="s">
        <v>99</v>
      </c>
      <c r="D206" s="128" t="s">
        <v>776</v>
      </c>
      <c r="E206" s="127"/>
      <c r="F206" s="138">
        <f>F207</f>
        <v>0</v>
      </c>
    </row>
    <row r="207" spans="1:6" ht="25.5" customHeight="1" hidden="1">
      <c r="A207" s="139" t="s">
        <v>212</v>
      </c>
      <c r="B207" s="127" t="s">
        <v>620</v>
      </c>
      <c r="C207" s="127" t="s">
        <v>99</v>
      </c>
      <c r="D207" s="128" t="s">
        <v>776</v>
      </c>
      <c r="E207" s="127">
        <v>200</v>
      </c>
      <c r="F207" s="138"/>
    </row>
    <row r="208" spans="1:6" ht="12.75" customHeight="1" hidden="1">
      <c r="A208" s="139" t="s">
        <v>775</v>
      </c>
      <c r="B208" s="127" t="s">
        <v>620</v>
      </c>
      <c r="C208" s="127" t="s">
        <v>99</v>
      </c>
      <c r="D208" s="128" t="s">
        <v>774</v>
      </c>
      <c r="E208" s="127"/>
      <c r="F208" s="138">
        <f>F209</f>
        <v>0</v>
      </c>
    </row>
    <row r="209" spans="1:6" ht="25.5" customHeight="1" hidden="1">
      <c r="A209" s="139" t="s">
        <v>212</v>
      </c>
      <c r="B209" s="127" t="s">
        <v>620</v>
      </c>
      <c r="C209" s="127" t="s">
        <v>99</v>
      </c>
      <c r="D209" s="128" t="s">
        <v>774</v>
      </c>
      <c r="E209" s="127">
        <v>200</v>
      </c>
      <c r="F209" s="138"/>
    </row>
    <row r="210" spans="1:6" ht="36.75" customHeight="1">
      <c r="A210" s="130" t="s">
        <v>449</v>
      </c>
      <c r="B210" s="127" t="s">
        <v>620</v>
      </c>
      <c r="C210" s="127" t="s">
        <v>99</v>
      </c>
      <c r="D210" s="128" t="s">
        <v>605</v>
      </c>
      <c r="E210" s="127"/>
      <c r="F210" s="126">
        <f>F211+F216</f>
        <v>5623928.96</v>
      </c>
    </row>
    <row r="211" spans="1:6" ht="25.5">
      <c r="A211" s="28" t="s">
        <v>672</v>
      </c>
      <c r="B211" s="127" t="s">
        <v>620</v>
      </c>
      <c r="C211" s="127" t="s">
        <v>99</v>
      </c>
      <c r="D211" s="128" t="s">
        <v>320</v>
      </c>
      <c r="E211" s="127"/>
      <c r="F211" s="126">
        <f>F212+F214</f>
        <v>5585925.8</v>
      </c>
    </row>
    <row r="212" spans="1:6" ht="51" customHeight="1" hidden="1">
      <c r="A212" s="28" t="s">
        <v>375</v>
      </c>
      <c r="B212" s="127" t="s">
        <v>620</v>
      </c>
      <c r="C212" s="127" t="s">
        <v>99</v>
      </c>
      <c r="D212" s="128" t="s">
        <v>376</v>
      </c>
      <c r="E212" s="127"/>
      <c r="F212" s="126">
        <f>F213</f>
        <v>0</v>
      </c>
    </row>
    <row r="213" spans="1:6" ht="12.75" customHeight="1" hidden="1">
      <c r="A213" s="139" t="s">
        <v>75</v>
      </c>
      <c r="B213" s="127" t="s">
        <v>620</v>
      </c>
      <c r="C213" s="127" t="s">
        <v>99</v>
      </c>
      <c r="D213" s="128" t="s">
        <v>376</v>
      </c>
      <c r="E213" s="127">
        <v>800</v>
      </c>
      <c r="F213" s="126"/>
    </row>
    <row r="214" spans="1:6" ht="25.5">
      <c r="A214" s="325" t="s">
        <v>322</v>
      </c>
      <c r="B214" s="127" t="s">
        <v>620</v>
      </c>
      <c r="C214" s="127" t="s">
        <v>99</v>
      </c>
      <c r="D214" s="128" t="s">
        <v>321</v>
      </c>
      <c r="E214" s="127"/>
      <c r="F214" s="126">
        <f>F215</f>
        <v>5585925.8</v>
      </c>
    </row>
    <row r="215" spans="1:6" ht="25.5">
      <c r="A215" s="139" t="s">
        <v>212</v>
      </c>
      <c r="B215" s="127" t="s">
        <v>620</v>
      </c>
      <c r="C215" s="127" t="s">
        <v>99</v>
      </c>
      <c r="D215" s="128" t="s">
        <v>321</v>
      </c>
      <c r="E215" s="127">
        <v>200</v>
      </c>
      <c r="F215" s="138">
        <f>375681+5255258-42010.04-3003.16</f>
        <v>5585925.8</v>
      </c>
    </row>
    <row r="216" spans="1:6" ht="25.5">
      <c r="A216" s="139" t="s">
        <v>834</v>
      </c>
      <c r="B216" s="127" t="s">
        <v>620</v>
      </c>
      <c r="C216" s="127" t="s">
        <v>99</v>
      </c>
      <c r="D216" s="128" t="s">
        <v>835</v>
      </c>
      <c r="E216" s="127"/>
      <c r="F216" s="138">
        <f>F217</f>
        <v>38003.16</v>
      </c>
    </row>
    <row r="217" spans="1:6" ht="25.5">
      <c r="A217" s="139" t="s">
        <v>836</v>
      </c>
      <c r="B217" s="127" t="s">
        <v>620</v>
      </c>
      <c r="C217" s="127" t="s">
        <v>99</v>
      </c>
      <c r="D217" s="128" t="s">
        <v>837</v>
      </c>
      <c r="E217" s="127"/>
      <c r="F217" s="138">
        <f>F218</f>
        <v>38003.16</v>
      </c>
    </row>
    <row r="218" spans="1:6" ht="25.5">
      <c r="A218" s="139" t="s">
        <v>212</v>
      </c>
      <c r="B218" s="127" t="s">
        <v>620</v>
      </c>
      <c r="C218" s="127" t="s">
        <v>99</v>
      </c>
      <c r="D218" s="128" t="s">
        <v>837</v>
      </c>
      <c r="E218" s="127">
        <v>200</v>
      </c>
      <c r="F218" s="138">
        <f>35000+3003.16</f>
        <v>38003.16</v>
      </c>
    </row>
    <row r="219" spans="1:6" ht="25.5" customHeight="1" hidden="1">
      <c r="A219" s="130" t="s">
        <v>593</v>
      </c>
      <c r="B219" s="127" t="s">
        <v>620</v>
      </c>
      <c r="C219" s="127" t="s">
        <v>99</v>
      </c>
      <c r="D219" s="128" t="s">
        <v>14</v>
      </c>
      <c r="E219" s="127"/>
      <c r="F219" s="126">
        <f>F220</f>
        <v>0</v>
      </c>
    </row>
    <row r="220" spans="1:6" ht="25.5" customHeight="1" hidden="1">
      <c r="A220" s="70" t="s">
        <v>603</v>
      </c>
      <c r="B220" s="127" t="s">
        <v>620</v>
      </c>
      <c r="C220" s="127" t="s">
        <v>99</v>
      </c>
      <c r="D220" s="128" t="s">
        <v>680</v>
      </c>
      <c r="E220" s="127"/>
      <c r="F220" s="126">
        <f>F228+F221</f>
        <v>0</v>
      </c>
    </row>
    <row r="221" spans="1:6" ht="12.75" customHeight="1" hidden="1">
      <c r="A221" s="139" t="s">
        <v>681</v>
      </c>
      <c r="B221" s="127" t="s">
        <v>620</v>
      </c>
      <c r="C221" s="127" t="s">
        <v>99</v>
      </c>
      <c r="D221" s="128" t="s">
        <v>374</v>
      </c>
      <c r="E221" s="127"/>
      <c r="F221" s="126">
        <f>F222+F224+F226</f>
        <v>0</v>
      </c>
    </row>
    <row r="222" spans="1:6" ht="38.25" customHeight="1" hidden="1">
      <c r="A222" s="139" t="s">
        <v>48</v>
      </c>
      <c r="B222" s="127" t="s">
        <v>620</v>
      </c>
      <c r="C222" s="127" t="s">
        <v>99</v>
      </c>
      <c r="D222" s="128" t="s">
        <v>47</v>
      </c>
      <c r="E222" s="127"/>
      <c r="F222" s="138">
        <f>F223</f>
        <v>0</v>
      </c>
    </row>
    <row r="223" spans="1:6" ht="25.5" customHeight="1" hidden="1">
      <c r="A223" s="139" t="s">
        <v>212</v>
      </c>
      <c r="B223" s="127" t="s">
        <v>620</v>
      </c>
      <c r="C223" s="127" t="s">
        <v>99</v>
      </c>
      <c r="D223" s="128" t="s">
        <v>47</v>
      </c>
      <c r="E223" s="127">
        <v>200</v>
      </c>
      <c r="F223" s="138"/>
    </row>
    <row r="224" spans="1:6" ht="51" customHeight="1" hidden="1">
      <c r="A224" s="139" t="s">
        <v>49</v>
      </c>
      <c r="B224" s="127" t="s">
        <v>620</v>
      </c>
      <c r="C224" s="127" t="s">
        <v>99</v>
      </c>
      <c r="D224" s="128" t="s">
        <v>50</v>
      </c>
      <c r="E224" s="127"/>
      <c r="F224" s="138">
        <f>F225</f>
        <v>0</v>
      </c>
    </row>
    <row r="225" spans="1:6" ht="25.5" customHeight="1" hidden="1">
      <c r="A225" s="139" t="s">
        <v>212</v>
      </c>
      <c r="B225" s="127" t="s">
        <v>620</v>
      </c>
      <c r="C225" s="127" t="s">
        <v>99</v>
      </c>
      <c r="D225" s="128" t="s">
        <v>50</v>
      </c>
      <c r="E225" s="127">
        <v>200</v>
      </c>
      <c r="F225" s="138"/>
    </row>
    <row r="226" spans="1:6" ht="38.25" customHeight="1" hidden="1">
      <c r="A226" s="139" t="s">
        <v>51</v>
      </c>
      <c r="B226" s="127" t="s">
        <v>620</v>
      </c>
      <c r="C226" s="127" t="s">
        <v>99</v>
      </c>
      <c r="D226" s="128" t="s">
        <v>52</v>
      </c>
      <c r="E226" s="127"/>
      <c r="F226" s="138">
        <f>F227</f>
        <v>0</v>
      </c>
    </row>
    <row r="227" spans="1:6" ht="25.5" customHeight="1" hidden="1">
      <c r="A227" s="139" t="s">
        <v>212</v>
      </c>
      <c r="B227" s="127" t="s">
        <v>620</v>
      </c>
      <c r="C227" s="127" t="s">
        <v>99</v>
      </c>
      <c r="D227" s="128" t="s">
        <v>52</v>
      </c>
      <c r="E227" s="127">
        <v>200</v>
      </c>
      <c r="F227" s="138"/>
    </row>
    <row r="228" spans="1:6" ht="12.75" customHeight="1" hidden="1">
      <c r="A228" s="28" t="s">
        <v>711</v>
      </c>
      <c r="B228" s="127" t="s">
        <v>620</v>
      </c>
      <c r="C228" s="127" t="s">
        <v>99</v>
      </c>
      <c r="D228" s="128" t="s">
        <v>373</v>
      </c>
      <c r="E228" s="127"/>
      <c r="F228" s="126">
        <f>F229+F231+F233</f>
        <v>0</v>
      </c>
    </row>
    <row r="229" spans="1:6" ht="38.25" customHeight="1" hidden="1">
      <c r="A229" s="28" t="s">
        <v>53</v>
      </c>
      <c r="B229" s="127" t="s">
        <v>620</v>
      </c>
      <c r="C229" s="127" t="s">
        <v>99</v>
      </c>
      <c r="D229" s="128" t="s">
        <v>54</v>
      </c>
      <c r="E229" s="127"/>
      <c r="F229" s="138">
        <f>F230</f>
        <v>0</v>
      </c>
    </row>
    <row r="230" spans="1:6" ht="25.5" customHeight="1" hidden="1">
      <c r="A230" s="139" t="s">
        <v>212</v>
      </c>
      <c r="B230" s="127" t="s">
        <v>620</v>
      </c>
      <c r="C230" s="127" t="s">
        <v>99</v>
      </c>
      <c r="D230" s="128" t="s">
        <v>54</v>
      </c>
      <c r="E230" s="127">
        <v>200</v>
      </c>
      <c r="F230" s="138"/>
    </row>
    <row r="231" spans="1:6" ht="51" customHeight="1" hidden="1">
      <c r="A231" s="28" t="s">
        <v>55</v>
      </c>
      <c r="B231" s="127" t="s">
        <v>620</v>
      </c>
      <c r="C231" s="127" t="s">
        <v>99</v>
      </c>
      <c r="D231" s="128" t="s">
        <v>56</v>
      </c>
      <c r="E231" s="127"/>
      <c r="F231" s="138">
        <f>F232</f>
        <v>0</v>
      </c>
    </row>
    <row r="232" spans="1:6" ht="25.5" customHeight="1" hidden="1">
      <c r="A232" s="139" t="s">
        <v>212</v>
      </c>
      <c r="B232" s="127" t="s">
        <v>620</v>
      </c>
      <c r="C232" s="127" t="s">
        <v>99</v>
      </c>
      <c r="D232" s="128" t="s">
        <v>56</v>
      </c>
      <c r="E232" s="127">
        <v>200</v>
      </c>
      <c r="F232" s="138"/>
    </row>
    <row r="233" spans="1:6" ht="38.25" customHeight="1" hidden="1">
      <c r="A233" s="28" t="s">
        <v>57</v>
      </c>
      <c r="B233" s="127" t="s">
        <v>620</v>
      </c>
      <c r="C233" s="127" t="s">
        <v>99</v>
      </c>
      <c r="D233" s="128" t="s">
        <v>58</v>
      </c>
      <c r="E233" s="127"/>
      <c r="F233" s="138">
        <f>F234</f>
        <v>0</v>
      </c>
    </row>
    <row r="234" spans="1:6" ht="25.5" customHeight="1" hidden="1">
      <c r="A234" s="125" t="s">
        <v>212</v>
      </c>
      <c r="B234" s="123" t="s">
        <v>620</v>
      </c>
      <c r="C234" s="123" t="s">
        <v>99</v>
      </c>
      <c r="D234" s="124" t="s">
        <v>58</v>
      </c>
      <c r="E234" s="123">
        <v>200</v>
      </c>
      <c r="F234" s="122"/>
    </row>
    <row r="235" spans="1:6" ht="12.75" customHeight="1" hidden="1">
      <c r="A235" s="136" t="s">
        <v>311</v>
      </c>
      <c r="B235" s="104" t="s">
        <v>508</v>
      </c>
      <c r="C235" s="105"/>
      <c r="D235" s="106"/>
      <c r="E235" s="105"/>
      <c r="F235" s="107">
        <f>F236</f>
        <v>0</v>
      </c>
    </row>
    <row r="236" spans="1:6" ht="12.75" customHeight="1" hidden="1">
      <c r="A236" s="73" t="s">
        <v>93</v>
      </c>
      <c r="B236" s="108" t="s">
        <v>508</v>
      </c>
      <c r="C236" s="108" t="s">
        <v>620</v>
      </c>
      <c r="D236" s="100"/>
      <c r="E236" s="71"/>
      <c r="F236" s="72">
        <f>F237</f>
        <v>0</v>
      </c>
    </row>
    <row r="237" spans="1:6" ht="51" customHeight="1" hidden="1">
      <c r="A237" s="74" t="s">
        <v>453</v>
      </c>
      <c r="B237" s="108" t="s">
        <v>508</v>
      </c>
      <c r="C237" s="108" t="s">
        <v>620</v>
      </c>
      <c r="D237" s="100" t="s">
        <v>32</v>
      </c>
      <c r="E237" s="71"/>
      <c r="F237" s="72">
        <f>F238</f>
        <v>0</v>
      </c>
    </row>
    <row r="238" spans="1:6" ht="38.25" customHeight="1" hidden="1">
      <c r="A238" s="75" t="s">
        <v>92</v>
      </c>
      <c r="B238" s="108" t="s">
        <v>508</v>
      </c>
      <c r="C238" s="108" t="s">
        <v>620</v>
      </c>
      <c r="D238" s="76" t="s">
        <v>312</v>
      </c>
      <c r="E238" s="71"/>
      <c r="F238" s="72">
        <f>F239</f>
        <v>0</v>
      </c>
    </row>
    <row r="239" spans="1:6" ht="25.5" customHeight="1" hidden="1">
      <c r="A239" s="28" t="s">
        <v>313</v>
      </c>
      <c r="B239" s="108" t="s">
        <v>508</v>
      </c>
      <c r="C239" s="108" t="s">
        <v>620</v>
      </c>
      <c r="D239" s="100" t="s">
        <v>314</v>
      </c>
      <c r="E239" s="71"/>
      <c r="F239" s="72">
        <f>F240</f>
        <v>0</v>
      </c>
    </row>
    <row r="240" spans="1:6" ht="25.5" customHeight="1" hidden="1">
      <c r="A240" s="101" t="s">
        <v>212</v>
      </c>
      <c r="B240" s="109" t="s">
        <v>508</v>
      </c>
      <c r="C240" s="109" t="s">
        <v>620</v>
      </c>
      <c r="D240" s="102" t="s">
        <v>314</v>
      </c>
      <c r="E240" s="110">
        <v>200</v>
      </c>
      <c r="F240" s="103"/>
    </row>
    <row r="241" spans="1:6" ht="12.75">
      <c r="A241" s="136" t="s">
        <v>534</v>
      </c>
      <c r="B241" s="134" t="s">
        <v>621</v>
      </c>
      <c r="C241" s="135" t="s">
        <v>436</v>
      </c>
      <c r="D241" s="134" t="s">
        <v>85</v>
      </c>
      <c r="E241" s="134" t="s">
        <v>85</v>
      </c>
      <c r="F241" s="142">
        <f>F242+F255+F303+F315+F331</f>
        <v>436677799.11</v>
      </c>
    </row>
    <row r="242" spans="1:6" ht="12.75">
      <c r="A242" s="132" t="s">
        <v>535</v>
      </c>
      <c r="B242" s="131" t="s">
        <v>621</v>
      </c>
      <c r="C242" s="131" t="s">
        <v>504</v>
      </c>
      <c r="D242" s="131" t="s">
        <v>85</v>
      </c>
      <c r="E242" s="131" t="s">
        <v>85</v>
      </c>
      <c r="F242" s="126">
        <f>F243</f>
        <v>100789702.11</v>
      </c>
    </row>
    <row r="243" spans="1:6" ht="29.25" customHeight="1">
      <c r="A243" s="130" t="s">
        <v>261</v>
      </c>
      <c r="B243" s="127" t="s">
        <v>621</v>
      </c>
      <c r="C243" s="127" t="s">
        <v>504</v>
      </c>
      <c r="D243" s="128" t="s">
        <v>530</v>
      </c>
      <c r="E243" s="127" t="s">
        <v>85</v>
      </c>
      <c r="F243" s="126">
        <f>F244</f>
        <v>100789702.11</v>
      </c>
    </row>
    <row r="244" spans="1:6" ht="38.25">
      <c r="A244" s="70" t="s">
        <v>262</v>
      </c>
      <c r="B244" s="127" t="s">
        <v>621</v>
      </c>
      <c r="C244" s="127" t="s">
        <v>504</v>
      </c>
      <c r="D244" s="140" t="s">
        <v>531</v>
      </c>
      <c r="E244" s="129" t="s">
        <v>85</v>
      </c>
      <c r="F244" s="126">
        <f>F245</f>
        <v>100789702.11</v>
      </c>
    </row>
    <row r="245" spans="1:6" ht="25.5">
      <c r="A245" s="28" t="s">
        <v>430</v>
      </c>
      <c r="B245" s="127" t="s">
        <v>621</v>
      </c>
      <c r="C245" s="127" t="s">
        <v>504</v>
      </c>
      <c r="D245" s="128" t="s">
        <v>532</v>
      </c>
      <c r="E245" s="129"/>
      <c r="F245" s="126">
        <f>F246+F249+F253</f>
        <v>100789702.11</v>
      </c>
    </row>
    <row r="246" spans="1:6" ht="76.5">
      <c r="A246" s="139" t="s">
        <v>282</v>
      </c>
      <c r="B246" s="127" t="s">
        <v>621</v>
      </c>
      <c r="C246" s="127" t="s">
        <v>504</v>
      </c>
      <c r="D246" s="128" t="s">
        <v>283</v>
      </c>
      <c r="E246" s="127" t="s">
        <v>85</v>
      </c>
      <c r="F246" s="126">
        <f>SUM(F247:F248)</f>
        <v>55488082</v>
      </c>
    </row>
    <row r="247" spans="1:6" ht="51">
      <c r="A247" s="139" t="s">
        <v>698</v>
      </c>
      <c r="B247" s="127" t="s">
        <v>621</v>
      </c>
      <c r="C247" s="127" t="s">
        <v>504</v>
      </c>
      <c r="D247" s="128" t="s">
        <v>283</v>
      </c>
      <c r="E247" s="127" t="s">
        <v>565</v>
      </c>
      <c r="F247" s="138">
        <v>55063202</v>
      </c>
    </row>
    <row r="248" spans="1:6" ht="25.5">
      <c r="A248" s="139" t="s">
        <v>212</v>
      </c>
      <c r="B248" s="127" t="s">
        <v>621</v>
      </c>
      <c r="C248" s="127" t="s">
        <v>504</v>
      </c>
      <c r="D248" s="128" t="s">
        <v>283</v>
      </c>
      <c r="E248" s="127" t="s">
        <v>72</v>
      </c>
      <c r="F248" s="138">
        <v>424880</v>
      </c>
    </row>
    <row r="249" spans="1:6" ht="25.5">
      <c r="A249" s="129" t="s">
        <v>468</v>
      </c>
      <c r="B249" s="127" t="s">
        <v>621</v>
      </c>
      <c r="C249" s="127" t="s">
        <v>504</v>
      </c>
      <c r="D249" s="128" t="s">
        <v>284</v>
      </c>
      <c r="E249" s="127"/>
      <c r="F249" s="126">
        <f>SUM(F250:F252)</f>
        <v>45301620.11</v>
      </c>
    </row>
    <row r="250" spans="1:6" ht="51">
      <c r="A250" s="139" t="s">
        <v>698</v>
      </c>
      <c r="B250" s="127" t="s">
        <v>621</v>
      </c>
      <c r="C250" s="127" t="s">
        <v>504</v>
      </c>
      <c r="D250" s="128" t="s">
        <v>284</v>
      </c>
      <c r="E250" s="127">
        <v>100</v>
      </c>
      <c r="F250" s="138">
        <f>13405963+4048601+197000+150000+668413</f>
        <v>18469977</v>
      </c>
    </row>
    <row r="251" spans="1:6" ht="25.5">
      <c r="A251" s="139" t="s">
        <v>212</v>
      </c>
      <c r="B251" s="127" t="s">
        <v>621</v>
      </c>
      <c r="C251" s="127" t="s">
        <v>504</v>
      </c>
      <c r="D251" s="128" t="s">
        <v>284</v>
      </c>
      <c r="E251" s="127">
        <v>200</v>
      </c>
      <c r="F251" s="138">
        <f>23921812.11+630000</f>
        <v>24551812.11</v>
      </c>
    </row>
    <row r="252" spans="1:6" ht="12.75">
      <c r="A252" s="139" t="s">
        <v>75</v>
      </c>
      <c r="B252" s="127" t="s">
        <v>621</v>
      </c>
      <c r="C252" s="127" t="s">
        <v>504</v>
      </c>
      <c r="D252" s="128" t="s">
        <v>284</v>
      </c>
      <c r="E252" s="127">
        <v>800</v>
      </c>
      <c r="F252" s="138">
        <v>2279831</v>
      </c>
    </row>
    <row r="253" spans="1:6" ht="38.25" customHeight="1" hidden="1">
      <c r="A253" s="292" t="s">
        <v>146</v>
      </c>
      <c r="B253" s="148" t="s">
        <v>621</v>
      </c>
      <c r="C253" s="148" t="s">
        <v>504</v>
      </c>
      <c r="D253" s="149" t="s">
        <v>147</v>
      </c>
      <c r="E253" s="148"/>
      <c r="F253" s="138">
        <f>F254</f>
        <v>0</v>
      </c>
    </row>
    <row r="254" spans="1:6" ht="25.5" customHeight="1" hidden="1">
      <c r="A254" s="326" t="s">
        <v>148</v>
      </c>
      <c r="B254" s="148" t="s">
        <v>621</v>
      </c>
      <c r="C254" s="148" t="s">
        <v>504</v>
      </c>
      <c r="D254" s="149" t="s">
        <v>147</v>
      </c>
      <c r="E254" s="148">
        <v>200</v>
      </c>
      <c r="F254" s="138"/>
    </row>
    <row r="255" spans="1:6" ht="12.75">
      <c r="A255" s="132" t="s">
        <v>536</v>
      </c>
      <c r="B255" s="131" t="s">
        <v>621</v>
      </c>
      <c r="C255" s="131" t="s">
        <v>506</v>
      </c>
      <c r="D255" s="131" t="s">
        <v>85</v>
      </c>
      <c r="E255" s="131" t="s">
        <v>85</v>
      </c>
      <c r="F255" s="126">
        <f>F256</f>
        <v>304509674</v>
      </c>
    </row>
    <row r="256" spans="1:6" ht="38.25">
      <c r="A256" s="130" t="s">
        <v>263</v>
      </c>
      <c r="B256" s="127" t="s">
        <v>621</v>
      </c>
      <c r="C256" s="127" t="s">
        <v>506</v>
      </c>
      <c r="D256" s="128" t="s">
        <v>530</v>
      </c>
      <c r="E256" s="127" t="s">
        <v>85</v>
      </c>
      <c r="F256" s="126">
        <f>F257+F299</f>
        <v>304509674</v>
      </c>
    </row>
    <row r="257" spans="1:6" ht="38.25">
      <c r="A257" s="70" t="s">
        <v>262</v>
      </c>
      <c r="B257" s="127" t="s">
        <v>621</v>
      </c>
      <c r="C257" s="127" t="s">
        <v>506</v>
      </c>
      <c r="D257" s="128" t="s">
        <v>531</v>
      </c>
      <c r="E257" s="129" t="s">
        <v>85</v>
      </c>
      <c r="F257" s="126">
        <f>F258+F265+F293+F296+F276+F285+F288+F291</f>
        <v>304509674</v>
      </c>
    </row>
    <row r="258" spans="1:6" ht="25.5">
      <c r="A258" s="28" t="s">
        <v>432</v>
      </c>
      <c r="B258" s="127" t="s">
        <v>621</v>
      </c>
      <c r="C258" s="127" t="s">
        <v>506</v>
      </c>
      <c r="D258" s="128" t="s">
        <v>285</v>
      </c>
      <c r="E258" s="129"/>
      <c r="F258" s="126">
        <f>F259+F261+F263</f>
        <v>124754386</v>
      </c>
    </row>
    <row r="259" spans="1:6" ht="89.25">
      <c r="A259" s="139" t="s">
        <v>648</v>
      </c>
      <c r="B259" s="127" t="s">
        <v>621</v>
      </c>
      <c r="C259" s="127" t="s">
        <v>506</v>
      </c>
      <c r="D259" s="128" t="s">
        <v>286</v>
      </c>
      <c r="E259" s="127" t="s">
        <v>85</v>
      </c>
      <c r="F259" s="126">
        <f>F260</f>
        <v>96274514</v>
      </c>
    </row>
    <row r="260" spans="1:6" ht="25.5">
      <c r="A260" s="139" t="s">
        <v>88</v>
      </c>
      <c r="B260" s="127" t="s">
        <v>621</v>
      </c>
      <c r="C260" s="127" t="s">
        <v>506</v>
      </c>
      <c r="D260" s="128" t="s">
        <v>286</v>
      </c>
      <c r="E260" s="127">
        <v>600</v>
      </c>
      <c r="F260" s="138">
        <v>96274514</v>
      </c>
    </row>
    <row r="261" spans="1:6" ht="25.5">
      <c r="A261" s="129" t="s">
        <v>468</v>
      </c>
      <c r="B261" s="127" t="s">
        <v>621</v>
      </c>
      <c r="C261" s="127" t="s">
        <v>506</v>
      </c>
      <c r="D261" s="128" t="s">
        <v>287</v>
      </c>
      <c r="E261" s="127"/>
      <c r="F261" s="126">
        <f>F262</f>
        <v>22006560</v>
      </c>
    </row>
    <row r="262" spans="1:6" ht="25.5">
      <c r="A262" s="139" t="s">
        <v>88</v>
      </c>
      <c r="B262" s="127" t="s">
        <v>621</v>
      </c>
      <c r="C262" s="127" t="s">
        <v>506</v>
      </c>
      <c r="D262" s="128" t="s">
        <v>287</v>
      </c>
      <c r="E262" s="127">
        <v>600</v>
      </c>
      <c r="F262" s="138">
        <f>21835204+171356</f>
        <v>22006560</v>
      </c>
    </row>
    <row r="263" spans="1:6" ht="38.25">
      <c r="A263" s="139" t="s">
        <v>483</v>
      </c>
      <c r="B263" s="127" t="s">
        <v>621</v>
      </c>
      <c r="C263" s="127" t="s">
        <v>506</v>
      </c>
      <c r="D263" s="128" t="s">
        <v>906</v>
      </c>
      <c r="E263" s="127"/>
      <c r="F263" s="138">
        <f>F264</f>
        <v>6473312</v>
      </c>
    </row>
    <row r="264" spans="1:6" ht="25.5">
      <c r="A264" s="139" t="s">
        <v>88</v>
      </c>
      <c r="B264" s="127" t="s">
        <v>621</v>
      </c>
      <c r="C264" s="127" t="s">
        <v>506</v>
      </c>
      <c r="D264" s="128" t="s">
        <v>906</v>
      </c>
      <c r="E264" s="127">
        <v>600</v>
      </c>
      <c r="F264" s="138">
        <f>6562080-88768</f>
        <v>6473312</v>
      </c>
    </row>
    <row r="265" spans="1:6" ht="25.5">
      <c r="A265" s="28" t="s">
        <v>433</v>
      </c>
      <c r="B265" s="127" t="s">
        <v>621</v>
      </c>
      <c r="C265" s="127" t="s">
        <v>506</v>
      </c>
      <c r="D265" s="128" t="s">
        <v>288</v>
      </c>
      <c r="E265" s="127"/>
      <c r="F265" s="138">
        <f>F266+F268+F270+F272+F274</f>
        <v>13385864</v>
      </c>
    </row>
    <row r="266" spans="1:6" ht="38.25">
      <c r="A266" s="28" t="s">
        <v>371</v>
      </c>
      <c r="B266" s="127" t="s">
        <v>621</v>
      </c>
      <c r="C266" s="127" t="s">
        <v>506</v>
      </c>
      <c r="D266" s="128" t="s">
        <v>372</v>
      </c>
      <c r="E266" s="127"/>
      <c r="F266" s="138">
        <f>F267</f>
        <v>6304413</v>
      </c>
    </row>
    <row r="267" spans="1:6" ht="25.5">
      <c r="A267" s="139" t="s">
        <v>88</v>
      </c>
      <c r="B267" s="127" t="s">
        <v>621</v>
      </c>
      <c r="C267" s="127" t="s">
        <v>506</v>
      </c>
      <c r="D267" s="128" t="s">
        <v>372</v>
      </c>
      <c r="E267" s="127">
        <v>600</v>
      </c>
      <c r="F267" s="138">
        <f>772632+5484839+46942</f>
        <v>6304413</v>
      </c>
    </row>
    <row r="268" spans="1:6" ht="25.5" hidden="1">
      <c r="A268" s="49" t="s">
        <v>682</v>
      </c>
      <c r="B268" s="127" t="s">
        <v>621</v>
      </c>
      <c r="C268" s="127" t="s">
        <v>506</v>
      </c>
      <c r="D268" s="128" t="s">
        <v>683</v>
      </c>
      <c r="E268" s="127"/>
      <c r="F268" s="126">
        <f>F269</f>
        <v>0</v>
      </c>
    </row>
    <row r="269" spans="1:6" ht="25.5" hidden="1">
      <c r="A269" s="139" t="s">
        <v>88</v>
      </c>
      <c r="B269" s="127" t="s">
        <v>621</v>
      </c>
      <c r="C269" s="127" t="s">
        <v>506</v>
      </c>
      <c r="D269" s="128" t="s">
        <v>683</v>
      </c>
      <c r="E269" s="127">
        <v>600</v>
      </c>
      <c r="F269" s="138">
        <v>0</v>
      </c>
    </row>
    <row r="270" spans="1:6" ht="51">
      <c r="A270" s="28" t="s">
        <v>709</v>
      </c>
      <c r="B270" s="127" t="s">
        <v>621</v>
      </c>
      <c r="C270" s="127" t="s">
        <v>506</v>
      </c>
      <c r="D270" s="128" t="s">
        <v>710</v>
      </c>
      <c r="E270" s="127"/>
      <c r="F270" s="126">
        <f>F271</f>
        <v>318065</v>
      </c>
    </row>
    <row r="271" spans="1:6" ht="25.5">
      <c r="A271" s="139" t="s">
        <v>88</v>
      </c>
      <c r="B271" s="127" t="s">
        <v>621</v>
      </c>
      <c r="C271" s="127" t="s">
        <v>506</v>
      </c>
      <c r="D271" s="128" t="s">
        <v>710</v>
      </c>
      <c r="E271" s="127">
        <v>600</v>
      </c>
      <c r="F271" s="138">
        <v>318065</v>
      </c>
    </row>
    <row r="272" spans="1:6" ht="51">
      <c r="A272" s="49" t="s">
        <v>279</v>
      </c>
      <c r="B272" s="127" t="s">
        <v>621</v>
      </c>
      <c r="C272" s="127" t="s">
        <v>506</v>
      </c>
      <c r="D272" s="128" t="s">
        <v>289</v>
      </c>
      <c r="E272" s="127"/>
      <c r="F272" s="126">
        <f>F273</f>
        <v>2127215</v>
      </c>
    </row>
    <row r="273" spans="1:6" ht="25.5">
      <c r="A273" s="139" t="s">
        <v>88</v>
      </c>
      <c r="B273" s="127" t="s">
        <v>621</v>
      </c>
      <c r="C273" s="127" t="s">
        <v>506</v>
      </c>
      <c r="D273" s="128" t="s">
        <v>289</v>
      </c>
      <c r="E273" s="127">
        <v>600</v>
      </c>
      <c r="F273" s="138">
        <v>2127215</v>
      </c>
    </row>
    <row r="274" spans="1:6" ht="25.5">
      <c r="A274" s="129" t="s">
        <v>468</v>
      </c>
      <c r="B274" s="127" t="s">
        <v>621</v>
      </c>
      <c r="C274" s="127" t="s">
        <v>506</v>
      </c>
      <c r="D274" s="128" t="s">
        <v>370</v>
      </c>
      <c r="E274" s="127"/>
      <c r="F274" s="138">
        <f>F275</f>
        <v>4636171</v>
      </c>
    </row>
    <row r="275" spans="1:6" ht="25.5">
      <c r="A275" s="139" t="s">
        <v>88</v>
      </c>
      <c r="B275" s="127" t="s">
        <v>621</v>
      </c>
      <c r="C275" s="127" t="s">
        <v>506</v>
      </c>
      <c r="D275" s="128" t="s">
        <v>370</v>
      </c>
      <c r="E275" s="127">
        <v>600</v>
      </c>
      <c r="F275" s="138">
        <v>4636171</v>
      </c>
    </row>
    <row r="276" spans="1:6" ht="76.5">
      <c r="A276" s="28" t="s">
        <v>910</v>
      </c>
      <c r="B276" s="127" t="s">
        <v>621</v>
      </c>
      <c r="C276" s="127" t="s">
        <v>506</v>
      </c>
      <c r="D276" s="128" t="s">
        <v>912</v>
      </c>
      <c r="E276" s="127"/>
      <c r="F276" s="138">
        <f>F277+F283+F281+F279</f>
        <v>159072470</v>
      </c>
    </row>
    <row r="277" spans="1:6" s="449" customFormat="1" ht="12.75" hidden="1">
      <c r="A277" s="151"/>
      <c r="B277" s="447"/>
      <c r="C277" s="447"/>
      <c r="D277" s="448"/>
      <c r="E277" s="447"/>
      <c r="F277" s="138">
        <f>F278</f>
        <v>0</v>
      </c>
    </row>
    <row r="278" spans="1:6" s="449" customFormat="1" ht="12.75" hidden="1">
      <c r="A278" s="151"/>
      <c r="B278" s="447"/>
      <c r="C278" s="447"/>
      <c r="D278" s="448"/>
      <c r="E278" s="447"/>
      <c r="F278" s="138"/>
    </row>
    <row r="279" spans="1:6" ht="52.5" customHeight="1">
      <c r="A279" s="377" t="s">
        <v>980</v>
      </c>
      <c r="B279" s="127" t="s">
        <v>621</v>
      </c>
      <c r="C279" s="127" t="s">
        <v>506</v>
      </c>
      <c r="D279" s="128" t="s">
        <v>981</v>
      </c>
      <c r="E279" s="127"/>
      <c r="F279" s="138">
        <f>F280</f>
        <v>153886322</v>
      </c>
    </row>
    <row r="280" spans="1:6" ht="25.5">
      <c r="A280" s="139" t="s">
        <v>88</v>
      </c>
      <c r="B280" s="127" t="s">
        <v>621</v>
      </c>
      <c r="C280" s="127" t="s">
        <v>506</v>
      </c>
      <c r="D280" s="128" t="s">
        <v>981</v>
      </c>
      <c r="E280" s="127" t="s">
        <v>77</v>
      </c>
      <c r="F280" s="138">
        <v>153886322</v>
      </c>
    </row>
    <row r="281" spans="1:6" ht="25.5">
      <c r="A281" s="139" t="s">
        <v>918</v>
      </c>
      <c r="B281" s="127" t="s">
        <v>621</v>
      </c>
      <c r="C281" s="127" t="s">
        <v>506</v>
      </c>
      <c r="D281" s="128" t="s">
        <v>919</v>
      </c>
      <c r="E281" s="127"/>
      <c r="F281" s="138">
        <f>F282</f>
        <v>5082425</v>
      </c>
    </row>
    <row r="282" spans="1:6" ht="25.5">
      <c r="A282" s="139" t="s">
        <v>88</v>
      </c>
      <c r="B282" s="127" t="s">
        <v>621</v>
      </c>
      <c r="C282" s="127" t="s">
        <v>506</v>
      </c>
      <c r="D282" s="128" t="s">
        <v>919</v>
      </c>
      <c r="E282" s="127">
        <v>600</v>
      </c>
      <c r="F282" s="138">
        <v>5082425</v>
      </c>
    </row>
    <row r="283" spans="1:6" ht="25.5">
      <c r="A283" s="397" t="s">
        <v>911</v>
      </c>
      <c r="B283" s="127" t="s">
        <v>621</v>
      </c>
      <c r="C283" s="127" t="s">
        <v>506</v>
      </c>
      <c r="D283" s="128" t="s">
        <v>913</v>
      </c>
      <c r="E283" s="127"/>
      <c r="F283" s="138">
        <f>F284</f>
        <v>103723</v>
      </c>
    </row>
    <row r="284" spans="1:6" ht="25.5">
      <c r="A284" s="139" t="s">
        <v>88</v>
      </c>
      <c r="B284" s="127" t="s">
        <v>621</v>
      </c>
      <c r="C284" s="127" t="s">
        <v>506</v>
      </c>
      <c r="D284" s="128" t="s">
        <v>913</v>
      </c>
      <c r="E284" s="127" t="s">
        <v>77</v>
      </c>
      <c r="F284" s="138">
        <v>103723</v>
      </c>
    </row>
    <row r="285" spans="1:6" ht="12.75">
      <c r="A285" s="376" t="s">
        <v>713</v>
      </c>
      <c r="B285" s="148" t="s">
        <v>621</v>
      </c>
      <c r="C285" s="148" t="s">
        <v>506</v>
      </c>
      <c r="D285" s="149" t="s">
        <v>315</v>
      </c>
      <c r="E285" s="148"/>
      <c r="F285" s="138">
        <f>F286</f>
        <v>3423556</v>
      </c>
    </row>
    <row r="286" spans="1:6" ht="52.5" customHeight="1">
      <c r="A286" s="376" t="s">
        <v>888</v>
      </c>
      <c r="B286" s="148" t="s">
        <v>621</v>
      </c>
      <c r="C286" s="148" t="s">
        <v>506</v>
      </c>
      <c r="D286" s="149" t="s">
        <v>316</v>
      </c>
      <c r="E286" s="148"/>
      <c r="F286" s="138">
        <f>F287</f>
        <v>3423556</v>
      </c>
    </row>
    <row r="287" spans="1:6" ht="25.5">
      <c r="A287" s="292" t="s">
        <v>88</v>
      </c>
      <c r="B287" s="148" t="s">
        <v>621</v>
      </c>
      <c r="C287" s="148" t="s">
        <v>506</v>
      </c>
      <c r="D287" s="149" t="s">
        <v>316</v>
      </c>
      <c r="E287" s="148">
        <v>600</v>
      </c>
      <c r="F287" s="138">
        <f>3355086+68470</f>
        <v>3423556</v>
      </c>
    </row>
    <row r="288" spans="1:6" ht="12.75">
      <c r="A288" s="376" t="s">
        <v>105</v>
      </c>
      <c r="B288" s="148" t="s">
        <v>621</v>
      </c>
      <c r="C288" s="148" t="s">
        <v>506</v>
      </c>
      <c r="D288" s="149" t="s">
        <v>60</v>
      </c>
      <c r="E288" s="148"/>
      <c r="F288" s="138">
        <f>F289</f>
        <v>3873398</v>
      </c>
    </row>
    <row r="289" spans="1:6" ht="38.25">
      <c r="A289" s="376" t="s">
        <v>150</v>
      </c>
      <c r="B289" s="148" t="s">
        <v>621</v>
      </c>
      <c r="C289" s="148" t="s">
        <v>506</v>
      </c>
      <c r="D289" s="149" t="s">
        <v>61</v>
      </c>
      <c r="E289" s="148"/>
      <c r="F289" s="138">
        <f>F290</f>
        <v>3873398</v>
      </c>
    </row>
    <row r="290" spans="1:6" ht="25.5">
      <c r="A290" s="292" t="s">
        <v>88</v>
      </c>
      <c r="B290" s="148" t="s">
        <v>621</v>
      </c>
      <c r="C290" s="148" t="s">
        <v>506</v>
      </c>
      <c r="D290" s="149" t="s">
        <v>61</v>
      </c>
      <c r="E290" s="148">
        <v>600</v>
      </c>
      <c r="F290" s="138">
        <f>3795930+77468</f>
        <v>3873398</v>
      </c>
    </row>
    <row r="291" spans="1:6" ht="12.75" customHeight="1" hidden="1">
      <c r="A291" s="392"/>
      <c r="B291" s="393"/>
      <c r="C291" s="393"/>
      <c r="D291" s="394"/>
      <c r="E291" s="393"/>
      <c r="F291" s="395">
        <f>F292</f>
        <v>0</v>
      </c>
    </row>
    <row r="292" spans="1:6" ht="12.75" customHeight="1" hidden="1">
      <c r="A292" s="392"/>
      <c r="B292" s="393"/>
      <c r="C292" s="393"/>
      <c r="D292" s="394"/>
      <c r="E292" s="393"/>
      <c r="F292" s="395"/>
    </row>
    <row r="293" spans="1:6" ht="12.75" customHeight="1" hidden="1">
      <c r="A293" s="324" t="s">
        <v>104</v>
      </c>
      <c r="B293" s="127" t="s">
        <v>621</v>
      </c>
      <c r="C293" s="127" t="s">
        <v>506</v>
      </c>
      <c r="D293" s="128" t="s">
        <v>666</v>
      </c>
      <c r="E293" s="127"/>
      <c r="F293" s="126">
        <f>F294</f>
        <v>0</v>
      </c>
    </row>
    <row r="294" spans="1:6" ht="38.25" customHeight="1" hidden="1">
      <c r="A294" s="324" t="s">
        <v>729</v>
      </c>
      <c r="B294" s="127" t="s">
        <v>621</v>
      </c>
      <c r="C294" s="127" t="s">
        <v>506</v>
      </c>
      <c r="D294" s="128" t="s">
        <v>667</v>
      </c>
      <c r="E294" s="127"/>
      <c r="F294" s="126">
        <f>F295</f>
        <v>0</v>
      </c>
    </row>
    <row r="295" spans="1:6" ht="25.5" customHeight="1" hidden="1">
      <c r="A295" s="139" t="s">
        <v>88</v>
      </c>
      <c r="B295" s="127" t="s">
        <v>621</v>
      </c>
      <c r="C295" s="127" t="s">
        <v>506</v>
      </c>
      <c r="D295" s="128" t="s">
        <v>667</v>
      </c>
      <c r="E295" s="127">
        <v>600</v>
      </c>
      <c r="F295" s="138"/>
    </row>
    <row r="296" spans="1:6" ht="12.75" customHeight="1" hidden="1">
      <c r="A296" s="324" t="s">
        <v>105</v>
      </c>
      <c r="B296" s="127" t="s">
        <v>621</v>
      </c>
      <c r="C296" s="127" t="s">
        <v>506</v>
      </c>
      <c r="D296" s="128" t="s">
        <v>60</v>
      </c>
      <c r="E296" s="127"/>
      <c r="F296" s="126">
        <f>F297</f>
        <v>0</v>
      </c>
    </row>
    <row r="297" spans="1:6" ht="25.5" customHeight="1" hidden="1">
      <c r="A297" s="324" t="s">
        <v>468</v>
      </c>
      <c r="B297" s="127" t="s">
        <v>621</v>
      </c>
      <c r="C297" s="127" t="s">
        <v>506</v>
      </c>
      <c r="D297" s="128" t="s">
        <v>838</v>
      </c>
      <c r="E297" s="127"/>
      <c r="F297" s="126">
        <f>F298</f>
        <v>0</v>
      </c>
    </row>
    <row r="298" spans="1:6" ht="25.5" customHeight="1" hidden="1">
      <c r="A298" s="139" t="s">
        <v>88</v>
      </c>
      <c r="B298" s="127" t="s">
        <v>621</v>
      </c>
      <c r="C298" s="127" t="s">
        <v>506</v>
      </c>
      <c r="D298" s="128" t="s">
        <v>838</v>
      </c>
      <c r="E298" s="127">
        <v>600</v>
      </c>
      <c r="F298" s="138"/>
    </row>
    <row r="299" spans="1:6" ht="63.75" customHeight="1" hidden="1">
      <c r="A299" s="70" t="s">
        <v>439</v>
      </c>
      <c r="B299" s="127" t="s">
        <v>621</v>
      </c>
      <c r="C299" s="127" t="s">
        <v>506</v>
      </c>
      <c r="D299" s="128" t="s">
        <v>440</v>
      </c>
      <c r="E299" s="127"/>
      <c r="F299" s="138">
        <f>F300</f>
        <v>0</v>
      </c>
    </row>
    <row r="300" spans="1:6" ht="39.75" customHeight="1" hidden="1">
      <c r="A300" s="139" t="s">
        <v>482</v>
      </c>
      <c r="B300" s="127" t="s">
        <v>621</v>
      </c>
      <c r="C300" s="127" t="s">
        <v>506</v>
      </c>
      <c r="D300" s="128" t="s">
        <v>441</v>
      </c>
      <c r="E300" s="127"/>
      <c r="F300" s="138">
        <f>F301</f>
        <v>0</v>
      </c>
    </row>
    <row r="301" spans="1:6" ht="38.25" customHeight="1" hidden="1">
      <c r="A301" s="28" t="s">
        <v>203</v>
      </c>
      <c r="B301" s="127" t="s">
        <v>621</v>
      </c>
      <c r="C301" s="127" t="s">
        <v>506</v>
      </c>
      <c r="D301" s="128" t="s">
        <v>442</v>
      </c>
      <c r="E301" s="127"/>
      <c r="F301" s="138">
        <f>F302</f>
        <v>0</v>
      </c>
    </row>
    <row r="302" spans="1:6" ht="25.5" customHeight="1" hidden="1">
      <c r="A302" s="139" t="s">
        <v>205</v>
      </c>
      <c r="B302" s="127" t="s">
        <v>621</v>
      </c>
      <c r="C302" s="127" t="s">
        <v>506</v>
      </c>
      <c r="D302" s="128" t="s">
        <v>442</v>
      </c>
      <c r="E302" s="127">
        <v>600</v>
      </c>
      <c r="F302" s="138">
        <v>0</v>
      </c>
    </row>
    <row r="303" spans="1:6" ht="12.75">
      <c r="A303" s="70" t="s">
        <v>39</v>
      </c>
      <c r="B303" s="127" t="s">
        <v>621</v>
      </c>
      <c r="C303" s="144" t="s">
        <v>99</v>
      </c>
      <c r="D303" s="128"/>
      <c r="E303" s="127"/>
      <c r="F303" s="126">
        <f>F304</f>
        <v>17277032</v>
      </c>
    </row>
    <row r="304" spans="1:6" ht="38.25">
      <c r="A304" s="130" t="s">
        <v>261</v>
      </c>
      <c r="B304" s="127" t="s">
        <v>621</v>
      </c>
      <c r="C304" s="144" t="s">
        <v>99</v>
      </c>
      <c r="D304" s="128" t="s">
        <v>530</v>
      </c>
      <c r="E304" s="127"/>
      <c r="F304" s="126">
        <f>F305</f>
        <v>17277032</v>
      </c>
    </row>
    <row r="305" spans="1:6" ht="38.25">
      <c r="A305" s="70" t="s">
        <v>670</v>
      </c>
      <c r="B305" s="127" t="s">
        <v>621</v>
      </c>
      <c r="C305" s="144" t="s">
        <v>99</v>
      </c>
      <c r="D305" s="140" t="s">
        <v>290</v>
      </c>
      <c r="E305" s="129" t="s">
        <v>85</v>
      </c>
      <c r="F305" s="126">
        <f>F306+F312+F309</f>
        <v>17277032</v>
      </c>
    </row>
    <row r="306" spans="1:6" ht="25.5">
      <c r="A306" s="28" t="s">
        <v>434</v>
      </c>
      <c r="B306" s="127" t="s">
        <v>621</v>
      </c>
      <c r="C306" s="144" t="s">
        <v>99</v>
      </c>
      <c r="D306" s="128" t="s">
        <v>291</v>
      </c>
      <c r="E306" s="129"/>
      <c r="F306" s="126">
        <f>F307</f>
        <v>13465532</v>
      </c>
    </row>
    <row r="307" spans="1:6" ht="25.5">
      <c r="A307" s="129" t="s">
        <v>468</v>
      </c>
      <c r="B307" s="127" t="s">
        <v>621</v>
      </c>
      <c r="C307" s="144" t="s">
        <v>99</v>
      </c>
      <c r="D307" s="128" t="s">
        <v>292</v>
      </c>
      <c r="E307" s="127" t="s">
        <v>85</v>
      </c>
      <c r="F307" s="126">
        <f>F308</f>
        <v>13465532</v>
      </c>
    </row>
    <row r="308" spans="1:6" ht="25.5">
      <c r="A308" s="139" t="s">
        <v>88</v>
      </c>
      <c r="B308" s="127" t="s">
        <v>621</v>
      </c>
      <c r="C308" s="144" t="s">
        <v>99</v>
      </c>
      <c r="D308" s="128" t="s">
        <v>292</v>
      </c>
      <c r="E308" s="127">
        <v>600</v>
      </c>
      <c r="F308" s="138">
        <f>16892835+280390-3811500+103807</f>
        <v>13465532</v>
      </c>
    </row>
    <row r="309" spans="1:6" ht="38.25">
      <c r="A309" s="139" t="s">
        <v>916</v>
      </c>
      <c r="B309" s="127" t="s">
        <v>621</v>
      </c>
      <c r="C309" s="144" t="s">
        <v>99</v>
      </c>
      <c r="D309" s="128" t="s">
        <v>914</v>
      </c>
      <c r="E309" s="129"/>
      <c r="F309" s="138">
        <f>F310</f>
        <v>3811500</v>
      </c>
    </row>
    <row r="310" spans="1:6" ht="12.75">
      <c r="A310" s="139" t="s">
        <v>198</v>
      </c>
      <c r="B310" s="127" t="s">
        <v>621</v>
      </c>
      <c r="C310" s="144" t="s">
        <v>99</v>
      </c>
      <c r="D310" s="128" t="s">
        <v>915</v>
      </c>
      <c r="E310" s="127" t="s">
        <v>85</v>
      </c>
      <c r="F310" s="138">
        <f>F311</f>
        <v>3811500</v>
      </c>
    </row>
    <row r="311" spans="1:6" ht="25.5">
      <c r="A311" s="139" t="s">
        <v>88</v>
      </c>
      <c r="B311" s="127" t="s">
        <v>621</v>
      </c>
      <c r="C311" s="144" t="s">
        <v>99</v>
      </c>
      <c r="D311" s="128" t="s">
        <v>915</v>
      </c>
      <c r="E311" s="127">
        <v>600</v>
      </c>
      <c r="F311" s="138">
        <v>3811500</v>
      </c>
    </row>
    <row r="312" spans="1:6" ht="12.75" hidden="1">
      <c r="A312" s="324" t="s">
        <v>104</v>
      </c>
      <c r="B312" s="127" t="s">
        <v>621</v>
      </c>
      <c r="C312" s="144" t="s">
        <v>99</v>
      </c>
      <c r="D312" s="128" t="s">
        <v>666</v>
      </c>
      <c r="E312" s="127"/>
      <c r="F312" s="126">
        <f>F313</f>
        <v>0</v>
      </c>
    </row>
    <row r="313" spans="1:6" ht="38.25" hidden="1">
      <c r="A313" s="324" t="s">
        <v>729</v>
      </c>
      <c r="B313" s="127" t="s">
        <v>621</v>
      </c>
      <c r="C313" s="144" t="s">
        <v>99</v>
      </c>
      <c r="D313" s="128" t="s">
        <v>667</v>
      </c>
      <c r="E313" s="127"/>
      <c r="F313" s="126">
        <f>F314</f>
        <v>0</v>
      </c>
    </row>
    <row r="314" spans="1:6" ht="25.5" hidden="1">
      <c r="A314" s="139" t="s">
        <v>88</v>
      </c>
      <c r="B314" s="127" t="s">
        <v>621</v>
      </c>
      <c r="C314" s="144" t="s">
        <v>99</v>
      </c>
      <c r="D314" s="128" t="s">
        <v>667</v>
      </c>
      <c r="E314" s="127">
        <v>600</v>
      </c>
      <c r="F314" s="138"/>
    </row>
    <row r="315" spans="1:6" ht="12.75">
      <c r="A315" s="132" t="s">
        <v>40</v>
      </c>
      <c r="B315" s="131" t="s">
        <v>621</v>
      </c>
      <c r="C315" s="131" t="s">
        <v>621</v>
      </c>
      <c r="D315" s="131" t="s">
        <v>85</v>
      </c>
      <c r="E315" s="131" t="s">
        <v>85</v>
      </c>
      <c r="F315" s="126">
        <f>F316</f>
        <v>2634600</v>
      </c>
    </row>
    <row r="316" spans="1:6" ht="38.25">
      <c r="A316" s="130" t="s">
        <v>413</v>
      </c>
      <c r="B316" s="127" t="s">
        <v>621</v>
      </c>
      <c r="C316" s="127" t="s">
        <v>621</v>
      </c>
      <c r="D316" s="128" t="s">
        <v>412</v>
      </c>
      <c r="E316" s="127" t="s">
        <v>85</v>
      </c>
      <c r="F316" s="126">
        <f>F317</f>
        <v>2634600</v>
      </c>
    </row>
    <row r="317" spans="1:6" ht="76.5">
      <c r="A317" s="70" t="s">
        <v>336</v>
      </c>
      <c r="B317" s="127" t="s">
        <v>621</v>
      </c>
      <c r="C317" s="127" t="s">
        <v>621</v>
      </c>
      <c r="D317" s="140" t="s">
        <v>462</v>
      </c>
      <c r="E317" s="129" t="s">
        <v>85</v>
      </c>
      <c r="F317" s="126">
        <f>F318+F328</f>
        <v>2634600</v>
      </c>
    </row>
    <row r="318" spans="1:6" ht="25.5">
      <c r="A318" s="28" t="s">
        <v>461</v>
      </c>
      <c r="B318" s="127" t="s">
        <v>621</v>
      </c>
      <c r="C318" s="127" t="s">
        <v>621</v>
      </c>
      <c r="D318" s="128" t="s">
        <v>460</v>
      </c>
      <c r="E318" s="129"/>
      <c r="F318" s="126">
        <f>F319+F322+F325</f>
        <v>2554600</v>
      </c>
    </row>
    <row r="319" spans="1:6" ht="12.75">
      <c r="A319" s="28" t="s">
        <v>459</v>
      </c>
      <c r="B319" s="127" t="s">
        <v>621</v>
      </c>
      <c r="C319" s="127" t="s">
        <v>621</v>
      </c>
      <c r="D319" s="128" t="s">
        <v>458</v>
      </c>
      <c r="E319" s="129"/>
      <c r="F319" s="126">
        <f>SUM(F320:F321)</f>
        <v>7000</v>
      </c>
    </row>
    <row r="320" spans="1:6" ht="25.5" customHeight="1" hidden="1">
      <c r="A320" s="139" t="s">
        <v>212</v>
      </c>
      <c r="B320" s="127" t="s">
        <v>621</v>
      </c>
      <c r="C320" s="127" t="s">
        <v>621</v>
      </c>
      <c r="D320" s="128" t="s">
        <v>458</v>
      </c>
      <c r="E320" s="129">
        <v>200</v>
      </c>
      <c r="F320" s="138"/>
    </row>
    <row r="321" spans="1:6" ht="25.5">
      <c r="A321" s="139" t="s">
        <v>88</v>
      </c>
      <c r="B321" s="127" t="s">
        <v>621</v>
      </c>
      <c r="C321" s="127" t="s">
        <v>621</v>
      </c>
      <c r="D321" s="128" t="s">
        <v>458</v>
      </c>
      <c r="E321" s="129">
        <v>600</v>
      </c>
      <c r="F321" s="138">
        <v>7000</v>
      </c>
    </row>
    <row r="322" spans="1:6" ht="12.75">
      <c r="A322" s="49" t="s">
        <v>601</v>
      </c>
      <c r="B322" s="127" t="s">
        <v>621</v>
      </c>
      <c r="C322" s="127" t="s">
        <v>621</v>
      </c>
      <c r="D322" s="128" t="s">
        <v>602</v>
      </c>
      <c r="E322" s="129"/>
      <c r="F322" s="126">
        <f>SUM(F323:F324)</f>
        <v>993564</v>
      </c>
    </row>
    <row r="323" spans="1:6" ht="12.75">
      <c r="A323" s="139" t="s">
        <v>79</v>
      </c>
      <c r="B323" s="127" t="s">
        <v>621</v>
      </c>
      <c r="C323" s="127" t="s">
        <v>621</v>
      </c>
      <c r="D323" s="128" t="s">
        <v>602</v>
      </c>
      <c r="E323" s="129">
        <v>300</v>
      </c>
      <c r="F323" s="138">
        <f>442037+154195</f>
        <v>596232</v>
      </c>
    </row>
    <row r="324" spans="1:6" ht="25.5">
      <c r="A324" s="139" t="s">
        <v>88</v>
      </c>
      <c r="B324" s="127" t="s">
        <v>621</v>
      </c>
      <c r="C324" s="127" t="s">
        <v>621</v>
      </c>
      <c r="D324" s="128" t="s">
        <v>602</v>
      </c>
      <c r="E324" s="129">
        <v>600</v>
      </c>
      <c r="F324" s="138">
        <f>551527-154195</f>
        <v>397332</v>
      </c>
    </row>
    <row r="325" spans="1:6" ht="25.5">
      <c r="A325" s="49" t="s">
        <v>469</v>
      </c>
      <c r="B325" s="127" t="s">
        <v>621</v>
      </c>
      <c r="C325" s="127" t="s">
        <v>621</v>
      </c>
      <c r="D325" s="128" t="s">
        <v>265</v>
      </c>
      <c r="E325" s="129"/>
      <c r="F325" s="126">
        <f>SUM(F326:F327)</f>
        <v>1554036</v>
      </c>
    </row>
    <row r="326" spans="1:6" ht="12.75">
      <c r="A326" s="139" t="s">
        <v>79</v>
      </c>
      <c r="B326" s="127" t="s">
        <v>621</v>
      </c>
      <c r="C326" s="127" t="s">
        <v>621</v>
      </c>
      <c r="D326" s="128" t="s">
        <v>265</v>
      </c>
      <c r="E326" s="129">
        <v>300</v>
      </c>
      <c r="F326" s="138">
        <f>691391+241177</f>
        <v>932568</v>
      </c>
    </row>
    <row r="327" spans="1:6" ht="25.5">
      <c r="A327" s="139" t="s">
        <v>88</v>
      </c>
      <c r="B327" s="127" t="s">
        <v>621</v>
      </c>
      <c r="C327" s="127" t="s">
        <v>621</v>
      </c>
      <c r="D327" s="128" t="s">
        <v>265</v>
      </c>
      <c r="E327" s="129">
        <v>600</v>
      </c>
      <c r="F327" s="138">
        <f>862645-241177</f>
        <v>621468</v>
      </c>
    </row>
    <row r="328" spans="1:6" ht="37.5" customHeight="1">
      <c r="A328" s="28" t="s">
        <v>715</v>
      </c>
      <c r="B328" s="127" t="s">
        <v>621</v>
      </c>
      <c r="C328" s="127" t="s">
        <v>621</v>
      </c>
      <c r="D328" s="128" t="s">
        <v>716</v>
      </c>
      <c r="E328" s="129"/>
      <c r="F328" s="126">
        <f>F329</f>
        <v>80000</v>
      </c>
    </row>
    <row r="329" spans="1:6" ht="12.75">
      <c r="A329" s="28" t="s">
        <v>718</v>
      </c>
      <c r="B329" s="127" t="s">
        <v>621</v>
      </c>
      <c r="C329" s="127" t="s">
        <v>621</v>
      </c>
      <c r="D329" s="128" t="s">
        <v>717</v>
      </c>
      <c r="E329" s="129"/>
      <c r="F329" s="126">
        <f>F330</f>
        <v>80000</v>
      </c>
    </row>
    <row r="330" spans="1:6" ht="25.5">
      <c r="A330" s="139" t="s">
        <v>212</v>
      </c>
      <c r="B330" s="127" t="s">
        <v>621</v>
      </c>
      <c r="C330" s="127" t="s">
        <v>621</v>
      </c>
      <c r="D330" s="128" t="s">
        <v>717</v>
      </c>
      <c r="E330" s="129">
        <v>200</v>
      </c>
      <c r="F330" s="138">
        <f>90000-40000+30000</f>
        <v>80000</v>
      </c>
    </row>
    <row r="331" spans="1:6" ht="12.75">
      <c r="A331" s="132" t="s">
        <v>537</v>
      </c>
      <c r="B331" s="131" t="s">
        <v>621</v>
      </c>
      <c r="C331" s="131" t="s">
        <v>100</v>
      </c>
      <c r="D331" s="131" t="s">
        <v>85</v>
      </c>
      <c r="E331" s="131" t="s">
        <v>85</v>
      </c>
      <c r="F331" s="126">
        <f>F332</f>
        <v>11466791</v>
      </c>
    </row>
    <row r="332" spans="1:6" ht="38.25">
      <c r="A332" s="130" t="s">
        <v>263</v>
      </c>
      <c r="B332" s="127" t="s">
        <v>621</v>
      </c>
      <c r="C332" s="127" t="s">
        <v>100</v>
      </c>
      <c r="D332" s="128" t="s">
        <v>530</v>
      </c>
      <c r="E332" s="127" t="s">
        <v>85</v>
      </c>
      <c r="F332" s="126">
        <f>F333+F347</f>
        <v>11466791</v>
      </c>
    </row>
    <row r="333" spans="1:6" ht="38.25">
      <c r="A333" s="70" t="s">
        <v>671</v>
      </c>
      <c r="B333" s="127" t="s">
        <v>621</v>
      </c>
      <c r="C333" s="127" t="s">
        <v>100</v>
      </c>
      <c r="D333" s="128" t="s">
        <v>293</v>
      </c>
      <c r="E333" s="129" t="s">
        <v>85</v>
      </c>
      <c r="F333" s="126">
        <f>F334+F337+F342</f>
        <v>11461791</v>
      </c>
    </row>
    <row r="334" spans="1:6" ht="51">
      <c r="A334" s="28" t="s">
        <v>435</v>
      </c>
      <c r="B334" s="127" t="s">
        <v>621</v>
      </c>
      <c r="C334" s="127" t="s">
        <v>100</v>
      </c>
      <c r="D334" s="128" t="s">
        <v>294</v>
      </c>
      <c r="E334" s="129"/>
      <c r="F334" s="126">
        <f>F335</f>
        <v>236023</v>
      </c>
    </row>
    <row r="335" spans="1:6" ht="38.25">
      <c r="A335" s="139" t="s">
        <v>569</v>
      </c>
      <c r="B335" s="127" t="s">
        <v>621</v>
      </c>
      <c r="C335" s="127" t="s">
        <v>100</v>
      </c>
      <c r="D335" s="128" t="s">
        <v>295</v>
      </c>
      <c r="E335" s="127"/>
      <c r="F335" s="126">
        <f>F336</f>
        <v>236023</v>
      </c>
    </row>
    <row r="336" spans="1:6" ht="51">
      <c r="A336" s="139" t="s">
        <v>698</v>
      </c>
      <c r="B336" s="127" t="s">
        <v>621</v>
      </c>
      <c r="C336" s="127" t="s">
        <v>100</v>
      </c>
      <c r="D336" s="128" t="s">
        <v>295</v>
      </c>
      <c r="E336" s="127">
        <v>100</v>
      </c>
      <c r="F336" s="138">
        <v>236023</v>
      </c>
    </row>
    <row r="337" spans="1:6" ht="28.5" customHeight="1">
      <c r="A337" s="28" t="s">
        <v>310</v>
      </c>
      <c r="B337" s="127" t="s">
        <v>621</v>
      </c>
      <c r="C337" s="127" t="s">
        <v>100</v>
      </c>
      <c r="D337" s="128" t="s">
        <v>297</v>
      </c>
      <c r="E337" s="127"/>
      <c r="F337" s="126">
        <f>F338</f>
        <v>9669393</v>
      </c>
    </row>
    <row r="338" spans="1:6" ht="25.5">
      <c r="A338" s="129" t="s">
        <v>468</v>
      </c>
      <c r="B338" s="127" t="s">
        <v>621</v>
      </c>
      <c r="C338" s="127" t="s">
        <v>100</v>
      </c>
      <c r="D338" s="128" t="s">
        <v>298</v>
      </c>
      <c r="E338" s="127" t="s">
        <v>85</v>
      </c>
      <c r="F338" s="126">
        <f>SUM(F339:F341)</f>
        <v>9669393</v>
      </c>
    </row>
    <row r="339" spans="1:6" ht="51">
      <c r="A339" s="139" t="s">
        <v>698</v>
      </c>
      <c r="B339" s="127" t="s">
        <v>621</v>
      </c>
      <c r="C339" s="127" t="s">
        <v>100</v>
      </c>
      <c r="D339" s="128" t="s">
        <v>298</v>
      </c>
      <c r="E339" s="127" t="s">
        <v>565</v>
      </c>
      <c r="F339" s="138">
        <v>7792459</v>
      </c>
    </row>
    <row r="340" spans="1:6" ht="25.5">
      <c r="A340" s="139" t="s">
        <v>212</v>
      </c>
      <c r="B340" s="127" t="s">
        <v>621</v>
      </c>
      <c r="C340" s="127" t="s">
        <v>100</v>
      </c>
      <c r="D340" s="128" t="s">
        <v>298</v>
      </c>
      <c r="E340" s="127" t="s">
        <v>72</v>
      </c>
      <c r="F340" s="138">
        <v>1871644</v>
      </c>
    </row>
    <row r="341" spans="1:6" ht="12.75">
      <c r="A341" s="139" t="s">
        <v>75</v>
      </c>
      <c r="B341" s="127" t="s">
        <v>621</v>
      </c>
      <c r="C341" s="127" t="s">
        <v>100</v>
      </c>
      <c r="D341" s="128" t="s">
        <v>298</v>
      </c>
      <c r="E341" s="127">
        <v>800</v>
      </c>
      <c r="F341" s="138">
        <v>5290</v>
      </c>
    </row>
    <row r="342" spans="1:6" ht="25.5">
      <c r="A342" s="129" t="s">
        <v>604</v>
      </c>
      <c r="B342" s="127" t="s">
        <v>621</v>
      </c>
      <c r="C342" s="127" t="s">
        <v>100</v>
      </c>
      <c r="D342" s="128" t="s">
        <v>606</v>
      </c>
      <c r="E342" s="127"/>
      <c r="F342" s="126">
        <f>F343</f>
        <v>1556375</v>
      </c>
    </row>
    <row r="343" spans="1:6" ht="25.5">
      <c r="A343" s="129" t="s">
        <v>694</v>
      </c>
      <c r="B343" s="127" t="s">
        <v>621</v>
      </c>
      <c r="C343" s="127" t="s">
        <v>100</v>
      </c>
      <c r="D343" s="128" t="s">
        <v>607</v>
      </c>
      <c r="E343" s="127"/>
      <c r="F343" s="126">
        <f>SUM(F344:F346)</f>
        <v>1556375</v>
      </c>
    </row>
    <row r="344" spans="1:6" ht="51">
      <c r="A344" s="139" t="s">
        <v>698</v>
      </c>
      <c r="B344" s="127" t="s">
        <v>621</v>
      </c>
      <c r="C344" s="127" t="s">
        <v>100</v>
      </c>
      <c r="D344" s="128" t="s">
        <v>607</v>
      </c>
      <c r="E344" s="127" t="s">
        <v>565</v>
      </c>
      <c r="F344" s="138">
        <f>953239+287878+118558</f>
        <v>1359675</v>
      </c>
    </row>
    <row r="345" spans="1:6" ht="25.5">
      <c r="A345" s="139" t="s">
        <v>212</v>
      </c>
      <c r="B345" s="127" t="s">
        <v>621</v>
      </c>
      <c r="C345" s="127" t="s">
        <v>100</v>
      </c>
      <c r="D345" s="128" t="s">
        <v>607</v>
      </c>
      <c r="E345" s="127" t="s">
        <v>72</v>
      </c>
      <c r="F345" s="138">
        <v>196700</v>
      </c>
    </row>
    <row r="346" spans="1:6" ht="12.75" customHeight="1">
      <c r="A346" s="125" t="s">
        <v>75</v>
      </c>
      <c r="B346" s="123" t="s">
        <v>621</v>
      </c>
      <c r="C346" s="123" t="s">
        <v>100</v>
      </c>
      <c r="D346" s="124" t="s">
        <v>607</v>
      </c>
      <c r="E346" s="123">
        <v>800</v>
      </c>
      <c r="F346" s="122"/>
    </row>
    <row r="347" spans="1:6" ht="16.5" customHeight="1">
      <c r="A347" s="139" t="s">
        <v>433</v>
      </c>
      <c r="B347" s="127" t="s">
        <v>621</v>
      </c>
      <c r="C347" s="127" t="s">
        <v>100</v>
      </c>
      <c r="D347" s="128" t="s">
        <v>288</v>
      </c>
      <c r="E347" s="127"/>
      <c r="F347" s="138">
        <f>F348</f>
        <v>5000</v>
      </c>
    </row>
    <row r="348" spans="1:6" ht="12.75">
      <c r="A348" s="139" t="s">
        <v>258</v>
      </c>
      <c r="B348" s="127" t="s">
        <v>621</v>
      </c>
      <c r="C348" s="127" t="s">
        <v>100</v>
      </c>
      <c r="D348" s="128" t="s">
        <v>257</v>
      </c>
      <c r="E348" s="127"/>
      <c r="F348" s="138">
        <f>F349</f>
        <v>5000</v>
      </c>
    </row>
    <row r="349" spans="1:6" ht="12.75">
      <c r="A349" s="139" t="s">
        <v>79</v>
      </c>
      <c r="B349" s="127" t="s">
        <v>621</v>
      </c>
      <c r="C349" s="127" t="s">
        <v>100</v>
      </c>
      <c r="D349" s="128" t="s">
        <v>257</v>
      </c>
      <c r="E349" s="127">
        <v>300</v>
      </c>
      <c r="F349" s="138">
        <v>5000</v>
      </c>
    </row>
    <row r="350" spans="1:6" ht="12.75" customHeight="1" hidden="1">
      <c r="A350" s="383"/>
      <c r="B350" s="443"/>
      <c r="C350" s="443"/>
      <c r="D350" s="444"/>
      <c r="E350" s="443"/>
      <c r="F350" s="445"/>
    </row>
    <row r="351" spans="1:6" ht="12.75" customHeight="1" hidden="1">
      <c r="A351" s="383"/>
      <c r="B351" s="443"/>
      <c r="C351" s="443"/>
      <c r="D351" s="444"/>
      <c r="E351" s="443"/>
      <c r="F351" s="445"/>
    </row>
    <row r="352" spans="1:6" ht="12.75" customHeight="1" hidden="1">
      <c r="A352" s="383"/>
      <c r="B352" s="443"/>
      <c r="C352" s="443"/>
      <c r="D352" s="444"/>
      <c r="E352" s="443"/>
      <c r="F352" s="445"/>
    </row>
    <row r="353" spans="1:6" ht="12.75">
      <c r="A353" s="136" t="s">
        <v>685</v>
      </c>
      <c r="B353" s="134" t="s">
        <v>526</v>
      </c>
      <c r="C353" s="135" t="s">
        <v>436</v>
      </c>
      <c r="D353" s="134" t="s">
        <v>85</v>
      </c>
      <c r="E353" s="134" t="s">
        <v>85</v>
      </c>
      <c r="F353" s="142">
        <f>F354</f>
        <v>28914423</v>
      </c>
    </row>
    <row r="354" spans="1:6" ht="12.75">
      <c r="A354" s="132" t="s">
        <v>538</v>
      </c>
      <c r="B354" s="131" t="s">
        <v>526</v>
      </c>
      <c r="C354" s="131" t="s">
        <v>504</v>
      </c>
      <c r="D354" s="131" t="s">
        <v>85</v>
      </c>
      <c r="E354" s="131" t="s">
        <v>85</v>
      </c>
      <c r="F354" s="126">
        <f>F355</f>
        <v>28914423</v>
      </c>
    </row>
    <row r="355" spans="1:6" ht="25.5">
      <c r="A355" s="130" t="s">
        <v>15</v>
      </c>
      <c r="B355" s="127" t="s">
        <v>526</v>
      </c>
      <c r="C355" s="127" t="s">
        <v>504</v>
      </c>
      <c r="D355" s="128" t="s">
        <v>299</v>
      </c>
      <c r="E355" s="127" t="s">
        <v>85</v>
      </c>
      <c r="F355" s="126">
        <f>F356+F362</f>
        <v>28914423</v>
      </c>
    </row>
    <row r="356" spans="1:6" ht="25.5">
      <c r="A356" s="70" t="s">
        <v>559</v>
      </c>
      <c r="B356" s="127" t="s">
        <v>526</v>
      </c>
      <c r="C356" s="127" t="s">
        <v>504</v>
      </c>
      <c r="D356" s="128" t="s">
        <v>300</v>
      </c>
      <c r="E356" s="129" t="s">
        <v>85</v>
      </c>
      <c r="F356" s="126">
        <f>F357</f>
        <v>5279218</v>
      </c>
    </row>
    <row r="357" spans="1:6" ht="12.75">
      <c r="A357" s="322" t="s">
        <v>457</v>
      </c>
      <c r="B357" s="127" t="s">
        <v>526</v>
      </c>
      <c r="C357" s="127" t="s">
        <v>504</v>
      </c>
      <c r="D357" s="128" t="s">
        <v>301</v>
      </c>
      <c r="E357" s="129"/>
      <c r="F357" s="126">
        <f>F358</f>
        <v>5279218</v>
      </c>
    </row>
    <row r="358" spans="1:6" ht="25.5">
      <c r="A358" s="129" t="s">
        <v>696</v>
      </c>
      <c r="B358" s="127" t="s">
        <v>526</v>
      </c>
      <c r="C358" s="127" t="s">
        <v>504</v>
      </c>
      <c r="D358" s="128" t="s">
        <v>302</v>
      </c>
      <c r="E358" s="127" t="s">
        <v>85</v>
      </c>
      <c r="F358" s="126">
        <f>SUM(F359:F361)</f>
        <v>5279218</v>
      </c>
    </row>
    <row r="359" spans="1:6" ht="51">
      <c r="A359" s="139" t="s">
        <v>698</v>
      </c>
      <c r="B359" s="127" t="s">
        <v>526</v>
      </c>
      <c r="C359" s="127" t="s">
        <v>504</v>
      </c>
      <c r="D359" s="128" t="s">
        <v>302</v>
      </c>
      <c r="E359" s="127">
        <v>100</v>
      </c>
      <c r="F359" s="138">
        <f>3778920+1141234</f>
        <v>4920154</v>
      </c>
    </row>
    <row r="360" spans="1:6" ht="25.5">
      <c r="A360" s="139" t="s">
        <v>212</v>
      </c>
      <c r="B360" s="127" t="s">
        <v>526</v>
      </c>
      <c r="C360" s="127" t="s">
        <v>504</v>
      </c>
      <c r="D360" s="128" t="s">
        <v>302</v>
      </c>
      <c r="E360" s="127">
        <v>200</v>
      </c>
      <c r="F360" s="138">
        <f>48120+159750+6386+6336+105576</f>
        <v>326168</v>
      </c>
    </row>
    <row r="361" spans="1:6" ht="12.75">
      <c r="A361" s="139" t="s">
        <v>75</v>
      </c>
      <c r="B361" s="127" t="s">
        <v>526</v>
      </c>
      <c r="C361" s="127" t="s">
        <v>504</v>
      </c>
      <c r="D361" s="128" t="s">
        <v>302</v>
      </c>
      <c r="E361" s="127">
        <v>800</v>
      </c>
      <c r="F361" s="138">
        <v>32896</v>
      </c>
    </row>
    <row r="362" spans="1:6" ht="25.5">
      <c r="A362" s="70" t="s">
        <v>560</v>
      </c>
      <c r="B362" s="127" t="s">
        <v>526</v>
      </c>
      <c r="C362" s="127" t="s">
        <v>504</v>
      </c>
      <c r="D362" s="128" t="s">
        <v>303</v>
      </c>
      <c r="E362" s="129"/>
      <c r="F362" s="126">
        <f>F363</f>
        <v>23635205</v>
      </c>
    </row>
    <row r="363" spans="1:6" ht="38.25">
      <c r="A363" s="322" t="s">
        <v>608</v>
      </c>
      <c r="B363" s="127" t="s">
        <v>526</v>
      </c>
      <c r="C363" s="127" t="s">
        <v>504</v>
      </c>
      <c r="D363" s="128" t="s">
        <v>304</v>
      </c>
      <c r="E363" s="129"/>
      <c r="F363" s="126">
        <f>F364+F368+F366</f>
        <v>23635205</v>
      </c>
    </row>
    <row r="364" spans="1:6" ht="25.5">
      <c r="A364" s="129" t="s">
        <v>696</v>
      </c>
      <c r="B364" s="127" t="s">
        <v>526</v>
      </c>
      <c r="C364" s="127" t="s">
        <v>504</v>
      </c>
      <c r="D364" s="128" t="s">
        <v>305</v>
      </c>
      <c r="E364" s="129"/>
      <c r="F364" s="126">
        <f>F365</f>
        <v>23511205</v>
      </c>
    </row>
    <row r="365" spans="1:6" ht="25.5">
      <c r="A365" s="139" t="s">
        <v>88</v>
      </c>
      <c r="B365" s="127" t="s">
        <v>526</v>
      </c>
      <c r="C365" s="127" t="s">
        <v>504</v>
      </c>
      <c r="D365" s="128" t="s">
        <v>305</v>
      </c>
      <c r="E365" s="129">
        <v>600</v>
      </c>
      <c r="F365" s="138">
        <v>23511205</v>
      </c>
    </row>
    <row r="366" spans="1:6" ht="24">
      <c r="A366" s="323" t="s">
        <v>275</v>
      </c>
      <c r="B366" s="144" t="s">
        <v>526</v>
      </c>
      <c r="C366" s="127" t="s">
        <v>504</v>
      </c>
      <c r="D366" s="128" t="s">
        <v>254</v>
      </c>
      <c r="E366" s="129"/>
      <c r="F366" s="126">
        <f>F367</f>
        <v>124000</v>
      </c>
    </row>
    <row r="367" spans="1:6" ht="25.5">
      <c r="A367" s="125" t="s">
        <v>89</v>
      </c>
      <c r="B367" s="143" t="s">
        <v>526</v>
      </c>
      <c r="C367" s="123" t="s">
        <v>504</v>
      </c>
      <c r="D367" s="124" t="s">
        <v>254</v>
      </c>
      <c r="E367" s="137">
        <v>200</v>
      </c>
      <c r="F367" s="122">
        <f>150000-66000+40000</f>
        <v>124000</v>
      </c>
    </row>
    <row r="368" spans="1:6" ht="42" customHeight="1" hidden="1">
      <c r="A368" s="125" t="s">
        <v>773</v>
      </c>
      <c r="B368" s="144" t="s">
        <v>526</v>
      </c>
      <c r="C368" s="127" t="s">
        <v>504</v>
      </c>
      <c r="D368" s="124" t="s">
        <v>772</v>
      </c>
      <c r="E368" s="129"/>
      <c r="F368" s="126">
        <f>F369</f>
        <v>0</v>
      </c>
    </row>
    <row r="369" spans="1:6" ht="25.5" customHeight="1" hidden="1">
      <c r="A369" s="139" t="s">
        <v>88</v>
      </c>
      <c r="B369" s="143" t="s">
        <v>526</v>
      </c>
      <c r="C369" s="123" t="s">
        <v>504</v>
      </c>
      <c r="D369" s="124" t="s">
        <v>772</v>
      </c>
      <c r="E369" s="137">
        <v>600</v>
      </c>
      <c r="F369" s="122"/>
    </row>
    <row r="370" spans="1:6" ht="12.75">
      <c r="A370" s="313" t="s">
        <v>41</v>
      </c>
      <c r="B370" s="135" t="s">
        <v>100</v>
      </c>
      <c r="C370" s="327" t="s">
        <v>436</v>
      </c>
      <c r="D370" s="328"/>
      <c r="E370" s="329"/>
      <c r="F370" s="142">
        <f>F371</f>
        <v>1084220</v>
      </c>
    </row>
    <row r="371" spans="1:6" ht="12.75">
      <c r="A371" s="139" t="s">
        <v>42</v>
      </c>
      <c r="B371" s="144" t="s">
        <v>100</v>
      </c>
      <c r="C371" s="144" t="s">
        <v>621</v>
      </c>
      <c r="D371" s="128"/>
      <c r="E371" s="129"/>
      <c r="F371" s="126">
        <f>F372</f>
        <v>1084220</v>
      </c>
    </row>
    <row r="372" spans="1:6" ht="25.5">
      <c r="A372" s="130" t="s">
        <v>593</v>
      </c>
      <c r="B372" s="144" t="s">
        <v>100</v>
      </c>
      <c r="C372" s="144" t="s">
        <v>621</v>
      </c>
      <c r="D372" s="128" t="s">
        <v>14</v>
      </c>
      <c r="E372" s="129"/>
      <c r="F372" s="126">
        <f>F373</f>
        <v>1084220</v>
      </c>
    </row>
    <row r="373" spans="1:6" ht="12.75">
      <c r="A373" s="70" t="s">
        <v>603</v>
      </c>
      <c r="B373" s="144" t="s">
        <v>100</v>
      </c>
      <c r="C373" s="144" t="s">
        <v>621</v>
      </c>
      <c r="D373" s="140" t="s">
        <v>16</v>
      </c>
      <c r="E373" s="129"/>
      <c r="F373" s="126">
        <f>F374</f>
        <v>1084220</v>
      </c>
    </row>
    <row r="374" spans="1:6" ht="25.5">
      <c r="A374" s="27" t="s">
        <v>731</v>
      </c>
      <c r="B374" s="144" t="s">
        <v>100</v>
      </c>
      <c r="C374" s="144" t="s">
        <v>621</v>
      </c>
      <c r="D374" s="128" t="s">
        <v>43</v>
      </c>
      <c r="E374" s="129"/>
      <c r="F374" s="126">
        <f>F375</f>
        <v>1084220</v>
      </c>
    </row>
    <row r="375" spans="1:6" ht="25.5">
      <c r="A375" s="125" t="s">
        <v>89</v>
      </c>
      <c r="B375" s="143" t="s">
        <v>100</v>
      </c>
      <c r="C375" s="143" t="s">
        <v>621</v>
      </c>
      <c r="D375" s="124" t="s">
        <v>43</v>
      </c>
      <c r="E375" s="137">
        <v>200</v>
      </c>
      <c r="F375" s="122">
        <v>1084220</v>
      </c>
    </row>
    <row r="376" spans="1:6" ht="12.75">
      <c r="A376" s="136" t="s">
        <v>539</v>
      </c>
      <c r="B376" s="134" t="s">
        <v>527</v>
      </c>
      <c r="C376" s="135" t="s">
        <v>436</v>
      </c>
      <c r="D376" s="134" t="s">
        <v>85</v>
      </c>
      <c r="E376" s="134" t="s">
        <v>85</v>
      </c>
      <c r="F376" s="142">
        <f>F383+F406+F429+F377</f>
        <v>73881009</v>
      </c>
    </row>
    <row r="377" spans="1:6" ht="12.75">
      <c r="A377" s="132" t="s">
        <v>901</v>
      </c>
      <c r="B377" s="131" t="s">
        <v>527</v>
      </c>
      <c r="C377" s="131" t="s">
        <v>504</v>
      </c>
      <c r="D377" s="131"/>
      <c r="E377" s="131"/>
      <c r="F377" s="126">
        <f>F378</f>
        <v>826190</v>
      </c>
    </row>
    <row r="378" spans="1:6" ht="25.5">
      <c r="A378" s="130" t="s">
        <v>714</v>
      </c>
      <c r="B378" s="127" t="s">
        <v>527</v>
      </c>
      <c r="C378" s="127" t="s">
        <v>504</v>
      </c>
      <c r="D378" s="128" t="s">
        <v>207</v>
      </c>
      <c r="E378" s="127"/>
      <c r="F378" s="126">
        <f>F379</f>
        <v>826190</v>
      </c>
    </row>
    <row r="379" spans="1:6" ht="38.25" customHeight="1">
      <c r="A379" s="70" t="s">
        <v>158</v>
      </c>
      <c r="B379" s="127" t="s">
        <v>527</v>
      </c>
      <c r="C379" s="127" t="s">
        <v>504</v>
      </c>
      <c r="D379" s="128" t="s">
        <v>114</v>
      </c>
      <c r="E379" s="127"/>
      <c r="F379" s="126">
        <f>F380</f>
        <v>826190</v>
      </c>
    </row>
    <row r="380" spans="1:6" ht="25.5">
      <c r="A380" s="322" t="s">
        <v>902</v>
      </c>
      <c r="B380" s="127" t="s">
        <v>527</v>
      </c>
      <c r="C380" s="127" t="s">
        <v>504</v>
      </c>
      <c r="D380" s="128" t="s">
        <v>904</v>
      </c>
      <c r="E380" s="127"/>
      <c r="F380" s="126">
        <f>F381</f>
        <v>826190</v>
      </c>
    </row>
    <row r="381" spans="1:6" ht="25.5">
      <c r="A381" s="129" t="s">
        <v>903</v>
      </c>
      <c r="B381" s="127" t="s">
        <v>527</v>
      </c>
      <c r="C381" s="127" t="s">
        <v>504</v>
      </c>
      <c r="D381" s="128" t="s">
        <v>905</v>
      </c>
      <c r="E381" s="127"/>
      <c r="F381" s="126">
        <f>F382</f>
        <v>826190</v>
      </c>
    </row>
    <row r="382" spans="1:6" ht="12.75">
      <c r="A382" s="129" t="s">
        <v>79</v>
      </c>
      <c r="B382" s="127" t="s">
        <v>527</v>
      </c>
      <c r="C382" s="127" t="s">
        <v>504</v>
      </c>
      <c r="D382" s="128" t="s">
        <v>905</v>
      </c>
      <c r="E382" s="127" t="s">
        <v>78</v>
      </c>
      <c r="F382" s="126">
        <v>826190</v>
      </c>
    </row>
    <row r="383" spans="1:6" ht="12.75">
      <c r="A383" s="132" t="s">
        <v>540</v>
      </c>
      <c r="B383" s="131" t="s">
        <v>527</v>
      </c>
      <c r="C383" s="131" t="s">
        <v>99</v>
      </c>
      <c r="D383" s="131" t="s">
        <v>85</v>
      </c>
      <c r="E383" s="131" t="s">
        <v>85</v>
      </c>
      <c r="F383" s="126">
        <f>F384+F401</f>
        <v>7662287</v>
      </c>
    </row>
    <row r="384" spans="1:6" ht="25.5">
      <c r="A384" s="130" t="s">
        <v>157</v>
      </c>
      <c r="B384" s="127" t="s">
        <v>527</v>
      </c>
      <c r="C384" s="127" t="s">
        <v>99</v>
      </c>
      <c r="D384" s="128" t="s">
        <v>207</v>
      </c>
      <c r="E384" s="127" t="s">
        <v>85</v>
      </c>
      <c r="F384" s="126">
        <f>F385</f>
        <v>7638287</v>
      </c>
    </row>
    <row r="385" spans="1:6" ht="42.75" customHeight="1">
      <c r="A385" s="70" t="s">
        <v>158</v>
      </c>
      <c r="B385" s="127" t="s">
        <v>527</v>
      </c>
      <c r="C385" s="127" t="s">
        <v>99</v>
      </c>
      <c r="D385" s="140" t="s">
        <v>114</v>
      </c>
      <c r="E385" s="129" t="s">
        <v>85</v>
      </c>
      <c r="F385" s="126">
        <f>F386+F393+F397</f>
        <v>7638287</v>
      </c>
    </row>
    <row r="386" spans="1:6" ht="25.5">
      <c r="A386" s="322" t="s">
        <v>609</v>
      </c>
      <c r="B386" s="127" t="s">
        <v>527</v>
      </c>
      <c r="C386" s="127" t="s">
        <v>99</v>
      </c>
      <c r="D386" s="140" t="s">
        <v>123</v>
      </c>
      <c r="E386" s="127"/>
      <c r="F386" s="126">
        <f>F387+F390</f>
        <v>7217643</v>
      </c>
    </row>
    <row r="387" spans="1:6" ht="12.75">
      <c r="A387" s="129" t="s">
        <v>562</v>
      </c>
      <c r="B387" s="127" t="s">
        <v>527</v>
      </c>
      <c r="C387" s="127" t="s">
        <v>99</v>
      </c>
      <c r="D387" s="128" t="s">
        <v>610</v>
      </c>
      <c r="E387" s="127" t="s">
        <v>85</v>
      </c>
      <c r="F387" s="126">
        <f>SUM(F388:F389)</f>
        <v>6840366</v>
      </c>
    </row>
    <row r="388" spans="1:6" ht="25.5">
      <c r="A388" s="139" t="s">
        <v>212</v>
      </c>
      <c r="B388" s="127" t="s">
        <v>527</v>
      </c>
      <c r="C388" s="127" t="s">
        <v>99</v>
      </c>
      <c r="D388" s="128" t="s">
        <v>610</v>
      </c>
      <c r="E388" s="127">
        <v>200</v>
      </c>
      <c r="F388" s="138">
        <f>50000+21000</f>
        <v>71000</v>
      </c>
    </row>
    <row r="389" spans="1:6" ht="12.75">
      <c r="A389" s="139" t="s">
        <v>79</v>
      </c>
      <c r="B389" s="127" t="s">
        <v>527</v>
      </c>
      <c r="C389" s="127" t="s">
        <v>99</v>
      </c>
      <c r="D389" s="128" t="s">
        <v>610</v>
      </c>
      <c r="E389" s="127">
        <v>300</v>
      </c>
      <c r="F389" s="138">
        <f>7021141-251775</f>
        <v>6769366</v>
      </c>
    </row>
    <row r="390" spans="1:6" ht="12.75">
      <c r="A390" s="129" t="s">
        <v>563</v>
      </c>
      <c r="B390" s="127" t="s">
        <v>527</v>
      </c>
      <c r="C390" s="127" t="s">
        <v>99</v>
      </c>
      <c r="D390" s="128" t="s">
        <v>611</v>
      </c>
      <c r="E390" s="127" t="s">
        <v>85</v>
      </c>
      <c r="F390" s="126">
        <f>SUM(F391:F392)</f>
        <v>377277</v>
      </c>
    </row>
    <row r="391" spans="1:6" ht="25.5">
      <c r="A391" s="139" t="s">
        <v>212</v>
      </c>
      <c r="B391" s="127" t="s">
        <v>527</v>
      </c>
      <c r="C391" s="127" t="s">
        <v>99</v>
      </c>
      <c r="D391" s="128" t="s">
        <v>611</v>
      </c>
      <c r="E391" s="127">
        <v>200</v>
      </c>
      <c r="F391" s="138">
        <v>9500</v>
      </c>
    </row>
    <row r="392" spans="1:6" ht="12.75">
      <c r="A392" s="139" t="s">
        <v>79</v>
      </c>
      <c r="B392" s="127" t="s">
        <v>527</v>
      </c>
      <c r="C392" s="127" t="s">
        <v>99</v>
      </c>
      <c r="D392" s="128" t="s">
        <v>611</v>
      </c>
      <c r="E392" s="127" t="s">
        <v>78</v>
      </c>
      <c r="F392" s="138">
        <f>517777-150000</f>
        <v>367777</v>
      </c>
    </row>
    <row r="393" spans="1:6" ht="25.5">
      <c r="A393" s="28" t="s">
        <v>120</v>
      </c>
      <c r="B393" s="131" t="s">
        <v>527</v>
      </c>
      <c r="C393" s="131" t="s">
        <v>99</v>
      </c>
      <c r="D393" s="140" t="s">
        <v>124</v>
      </c>
      <c r="E393" s="131"/>
      <c r="F393" s="126">
        <f>F394</f>
        <v>134715</v>
      </c>
    </row>
    <row r="394" spans="1:6" ht="25.5">
      <c r="A394" s="129" t="s">
        <v>246</v>
      </c>
      <c r="B394" s="127" t="s">
        <v>527</v>
      </c>
      <c r="C394" s="127" t="s">
        <v>99</v>
      </c>
      <c r="D394" s="128" t="s">
        <v>125</v>
      </c>
      <c r="E394" s="127" t="s">
        <v>85</v>
      </c>
      <c r="F394" s="126">
        <f>SUM(F395:F396)</f>
        <v>134715</v>
      </c>
    </row>
    <row r="395" spans="1:6" ht="25.5">
      <c r="A395" s="139" t="s">
        <v>212</v>
      </c>
      <c r="B395" s="127" t="s">
        <v>527</v>
      </c>
      <c r="C395" s="127" t="s">
        <v>99</v>
      </c>
      <c r="D395" s="128" t="s">
        <v>125</v>
      </c>
      <c r="E395" s="127">
        <v>200</v>
      </c>
      <c r="F395" s="126">
        <f>1400+500</f>
        <v>1900</v>
      </c>
    </row>
    <row r="396" spans="1:6" ht="12.75">
      <c r="A396" s="139" t="s">
        <v>79</v>
      </c>
      <c r="B396" s="127" t="s">
        <v>527</v>
      </c>
      <c r="C396" s="127" t="s">
        <v>99</v>
      </c>
      <c r="D396" s="128" t="s">
        <v>125</v>
      </c>
      <c r="E396" s="127" t="s">
        <v>78</v>
      </c>
      <c r="F396" s="138">
        <v>132815</v>
      </c>
    </row>
    <row r="397" spans="1:6" ht="38.25">
      <c r="A397" s="31" t="s">
        <v>612</v>
      </c>
      <c r="B397" s="131" t="s">
        <v>527</v>
      </c>
      <c r="C397" s="131" t="s">
        <v>99</v>
      </c>
      <c r="D397" s="140" t="s">
        <v>126</v>
      </c>
      <c r="E397" s="131"/>
      <c r="F397" s="126">
        <f>F398</f>
        <v>285929</v>
      </c>
    </row>
    <row r="398" spans="1:6" ht="25.5">
      <c r="A398" s="129" t="s">
        <v>466</v>
      </c>
      <c r="B398" s="127" t="s">
        <v>527</v>
      </c>
      <c r="C398" s="127" t="s">
        <v>99</v>
      </c>
      <c r="D398" s="128" t="s">
        <v>127</v>
      </c>
      <c r="E398" s="127" t="s">
        <v>85</v>
      </c>
      <c r="F398" s="126">
        <f>SUM(F399:F400)</f>
        <v>285929</v>
      </c>
    </row>
    <row r="399" spans="1:6" ht="25.5">
      <c r="A399" s="139" t="s">
        <v>212</v>
      </c>
      <c r="B399" s="127" t="s">
        <v>527</v>
      </c>
      <c r="C399" s="127" t="s">
        <v>99</v>
      </c>
      <c r="D399" s="128" t="s">
        <v>127</v>
      </c>
      <c r="E399" s="127">
        <v>200</v>
      </c>
      <c r="F399" s="138">
        <f>1000+1000</f>
        <v>2000</v>
      </c>
    </row>
    <row r="400" spans="1:6" ht="12.75">
      <c r="A400" s="139" t="s">
        <v>79</v>
      </c>
      <c r="B400" s="127" t="s">
        <v>527</v>
      </c>
      <c r="C400" s="127" t="s">
        <v>99</v>
      </c>
      <c r="D400" s="128" t="s">
        <v>127</v>
      </c>
      <c r="E400" s="127">
        <v>300</v>
      </c>
      <c r="F400" s="138">
        <v>283929</v>
      </c>
    </row>
    <row r="401" spans="1:6" ht="38.25">
      <c r="A401" s="130" t="s">
        <v>263</v>
      </c>
      <c r="B401" s="127">
        <v>10</v>
      </c>
      <c r="C401" s="127" t="s">
        <v>99</v>
      </c>
      <c r="D401" s="128" t="s">
        <v>530</v>
      </c>
      <c r="E401" s="127"/>
      <c r="F401" s="126">
        <f>F402</f>
        <v>24000</v>
      </c>
    </row>
    <row r="402" spans="1:6" ht="38.25">
      <c r="A402" s="70" t="s">
        <v>262</v>
      </c>
      <c r="B402" s="127">
        <v>10</v>
      </c>
      <c r="C402" s="127" t="s">
        <v>99</v>
      </c>
      <c r="D402" s="140" t="s">
        <v>531</v>
      </c>
      <c r="E402" s="127"/>
      <c r="F402" s="126">
        <f>F403</f>
        <v>24000</v>
      </c>
    </row>
    <row r="403" spans="1:6" ht="25.5">
      <c r="A403" s="28" t="s">
        <v>433</v>
      </c>
      <c r="B403" s="127">
        <v>10</v>
      </c>
      <c r="C403" s="127" t="s">
        <v>99</v>
      </c>
      <c r="D403" s="140" t="s">
        <v>288</v>
      </c>
      <c r="E403" s="127"/>
      <c r="F403" s="126">
        <f>F404</f>
        <v>24000</v>
      </c>
    </row>
    <row r="404" spans="1:6" ht="12.75">
      <c r="A404" s="323" t="s">
        <v>258</v>
      </c>
      <c r="B404" s="127">
        <v>10</v>
      </c>
      <c r="C404" s="127" t="s">
        <v>99</v>
      </c>
      <c r="D404" s="128" t="s">
        <v>257</v>
      </c>
      <c r="E404" s="127"/>
      <c r="F404" s="126">
        <f>F405</f>
        <v>24000</v>
      </c>
    </row>
    <row r="405" spans="1:6" ht="12.75">
      <c r="A405" s="139" t="s">
        <v>79</v>
      </c>
      <c r="B405" s="127">
        <v>10</v>
      </c>
      <c r="C405" s="127" t="s">
        <v>99</v>
      </c>
      <c r="D405" s="128" t="s">
        <v>257</v>
      </c>
      <c r="E405" s="127">
        <v>300</v>
      </c>
      <c r="F405" s="138">
        <f>20000+4000</f>
        <v>24000</v>
      </c>
    </row>
    <row r="406" spans="1:6" ht="12.75">
      <c r="A406" s="132" t="s">
        <v>541</v>
      </c>
      <c r="B406" s="131" t="s">
        <v>527</v>
      </c>
      <c r="C406" s="131" t="s">
        <v>507</v>
      </c>
      <c r="D406" s="131" t="s">
        <v>85</v>
      </c>
      <c r="E406" s="131" t="s">
        <v>85</v>
      </c>
      <c r="F406" s="126">
        <f>F407+F423</f>
        <v>60616032</v>
      </c>
    </row>
    <row r="407" spans="1:6" ht="25.5">
      <c r="A407" s="130" t="s">
        <v>157</v>
      </c>
      <c r="B407" s="127" t="s">
        <v>527</v>
      </c>
      <c r="C407" s="127" t="s">
        <v>507</v>
      </c>
      <c r="D407" s="128" t="s">
        <v>207</v>
      </c>
      <c r="E407" s="127"/>
      <c r="F407" s="126">
        <f>F408</f>
        <v>55499934</v>
      </c>
    </row>
    <row r="408" spans="1:6" ht="51">
      <c r="A408" s="70" t="s">
        <v>224</v>
      </c>
      <c r="B408" s="127" t="s">
        <v>527</v>
      </c>
      <c r="C408" s="127" t="s">
        <v>507</v>
      </c>
      <c r="D408" s="140" t="s">
        <v>7</v>
      </c>
      <c r="E408" s="129" t="s">
        <v>85</v>
      </c>
      <c r="F408" s="126">
        <f>F409+F416+F419</f>
        <v>55499934</v>
      </c>
    </row>
    <row r="409" spans="1:6" ht="38.25">
      <c r="A409" s="322" t="s">
        <v>720</v>
      </c>
      <c r="B409" s="127" t="s">
        <v>527</v>
      </c>
      <c r="C409" s="127" t="s">
        <v>507</v>
      </c>
      <c r="D409" s="127" t="s">
        <v>121</v>
      </c>
      <c r="E409" s="127"/>
      <c r="F409" s="126">
        <f>F410+F412+F414</f>
        <v>43630977</v>
      </c>
    </row>
    <row r="410" spans="1:6" ht="12.75">
      <c r="A410" s="28" t="s">
        <v>528</v>
      </c>
      <c r="B410" s="127" t="s">
        <v>527</v>
      </c>
      <c r="C410" s="127" t="s">
        <v>507</v>
      </c>
      <c r="D410" s="128" t="s">
        <v>721</v>
      </c>
      <c r="E410" s="127"/>
      <c r="F410" s="126">
        <f>F411</f>
        <v>1839382</v>
      </c>
    </row>
    <row r="411" spans="1:6" ht="12.75">
      <c r="A411" s="139" t="s">
        <v>79</v>
      </c>
      <c r="B411" s="127" t="s">
        <v>527</v>
      </c>
      <c r="C411" s="127" t="s">
        <v>507</v>
      </c>
      <c r="D411" s="128" t="s">
        <v>721</v>
      </c>
      <c r="E411" s="127">
        <v>300</v>
      </c>
      <c r="F411" s="138">
        <v>1839382</v>
      </c>
    </row>
    <row r="412" spans="1:6" ht="25.5">
      <c r="A412" s="300" t="s">
        <v>484</v>
      </c>
      <c r="B412" s="127" t="s">
        <v>527</v>
      </c>
      <c r="C412" s="127" t="s">
        <v>507</v>
      </c>
      <c r="D412" s="128" t="s">
        <v>485</v>
      </c>
      <c r="E412" s="127"/>
      <c r="F412" s="138">
        <f>F413</f>
        <v>41186977</v>
      </c>
    </row>
    <row r="413" spans="1:6" ht="12.75">
      <c r="A413" s="139" t="s">
        <v>79</v>
      </c>
      <c r="B413" s="127" t="s">
        <v>527</v>
      </c>
      <c r="C413" s="127" t="s">
        <v>507</v>
      </c>
      <c r="D413" s="128" t="s">
        <v>485</v>
      </c>
      <c r="E413" s="127">
        <v>300</v>
      </c>
      <c r="F413" s="138">
        <v>41186977</v>
      </c>
    </row>
    <row r="414" spans="1:6" ht="25.5">
      <c r="A414" s="300" t="s">
        <v>486</v>
      </c>
      <c r="B414" s="127" t="s">
        <v>527</v>
      </c>
      <c r="C414" s="127" t="s">
        <v>507</v>
      </c>
      <c r="D414" s="128" t="s">
        <v>487</v>
      </c>
      <c r="E414" s="127"/>
      <c r="F414" s="138">
        <f>F415</f>
        <v>604618</v>
      </c>
    </row>
    <row r="415" spans="1:6" ht="25.5">
      <c r="A415" s="139" t="s">
        <v>212</v>
      </c>
      <c r="B415" s="127" t="s">
        <v>527</v>
      </c>
      <c r="C415" s="127" t="s">
        <v>507</v>
      </c>
      <c r="D415" s="128" t="s">
        <v>487</v>
      </c>
      <c r="E415" s="127">
        <v>200</v>
      </c>
      <c r="F415" s="138">
        <v>604618</v>
      </c>
    </row>
    <row r="416" spans="1:6" ht="38.25">
      <c r="A416" s="322" t="s">
        <v>122</v>
      </c>
      <c r="B416" s="127" t="s">
        <v>527</v>
      </c>
      <c r="C416" s="127" t="s">
        <v>507</v>
      </c>
      <c r="D416" s="140" t="s">
        <v>722</v>
      </c>
      <c r="E416" s="129"/>
      <c r="F416" s="126">
        <f>F417</f>
        <v>6071609</v>
      </c>
    </row>
    <row r="417" spans="1:6" ht="29.25" customHeight="1">
      <c r="A417" s="295" t="s">
        <v>564</v>
      </c>
      <c r="B417" s="127" t="s">
        <v>527</v>
      </c>
      <c r="C417" s="127" t="s">
        <v>507</v>
      </c>
      <c r="D417" s="128" t="s">
        <v>723</v>
      </c>
      <c r="E417" s="127" t="s">
        <v>85</v>
      </c>
      <c r="F417" s="126">
        <f>SUM(F418:F418)</f>
        <v>6071609</v>
      </c>
    </row>
    <row r="418" spans="1:6" ht="12.75">
      <c r="A418" s="139" t="s">
        <v>79</v>
      </c>
      <c r="B418" s="127" t="s">
        <v>527</v>
      </c>
      <c r="C418" s="127" t="s">
        <v>507</v>
      </c>
      <c r="D418" s="128" t="s">
        <v>723</v>
      </c>
      <c r="E418" s="127">
        <v>300</v>
      </c>
      <c r="F418" s="138">
        <v>6071609</v>
      </c>
    </row>
    <row r="419" spans="1:6" ht="25.5">
      <c r="A419" s="377" t="s">
        <v>882</v>
      </c>
      <c r="B419" s="182" t="s">
        <v>527</v>
      </c>
      <c r="C419" s="182" t="s">
        <v>507</v>
      </c>
      <c r="D419" s="128" t="s">
        <v>866</v>
      </c>
      <c r="E419" s="127"/>
      <c r="F419" s="138">
        <f>F420</f>
        <v>5797348</v>
      </c>
    </row>
    <row r="420" spans="1:6" ht="42" customHeight="1">
      <c r="A420" s="377" t="s">
        <v>862</v>
      </c>
      <c r="B420" s="182" t="s">
        <v>527</v>
      </c>
      <c r="C420" s="182" t="s">
        <v>507</v>
      </c>
      <c r="D420" s="128" t="s">
        <v>867</v>
      </c>
      <c r="E420" s="127"/>
      <c r="F420" s="138">
        <f>F422+F421</f>
        <v>5797348</v>
      </c>
    </row>
    <row r="421" spans="1:6" ht="25.5">
      <c r="A421" s="139" t="s">
        <v>212</v>
      </c>
      <c r="B421" s="182" t="s">
        <v>527</v>
      </c>
      <c r="C421" s="182" t="s">
        <v>507</v>
      </c>
      <c r="D421" s="128" t="s">
        <v>867</v>
      </c>
      <c r="E421" s="127">
        <v>200</v>
      </c>
      <c r="F421" s="138">
        <f>69421+25736</f>
        <v>95157</v>
      </c>
    </row>
    <row r="422" spans="1:6" ht="25.5">
      <c r="A422" s="377" t="s">
        <v>205</v>
      </c>
      <c r="B422" s="182" t="s">
        <v>527</v>
      </c>
      <c r="C422" s="182" t="s">
        <v>507</v>
      </c>
      <c r="D422" s="128" t="s">
        <v>867</v>
      </c>
      <c r="E422" s="127">
        <v>400</v>
      </c>
      <c r="F422" s="138">
        <f>4158671+1543520</f>
        <v>5702191</v>
      </c>
    </row>
    <row r="423" spans="1:6" ht="38.25">
      <c r="A423" s="130" t="s">
        <v>261</v>
      </c>
      <c r="B423" s="127">
        <v>10</v>
      </c>
      <c r="C423" s="127" t="s">
        <v>507</v>
      </c>
      <c r="D423" s="128" t="s">
        <v>530</v>
      </c>
      <c r="E423" s="127"/>
      <c r="F423" s="126">
        <f>F424</f>
        <v>5116098</v>
      </c>
    </row>
    <row r="424" spans="1:6" ht="38.25">
      <c r="A424" s="70" t="s">
        <v>262</v>
      </c>
      <c r="B424" s="127">
        <v>10</v>
      </c>
      <c r="C424" s="127" t="s">
        <v>507</v>
      </c>
      <c r="D424" s="140" t="s">
        <v>531</v>
      </c>
      <c r="E424" s="127"/>
      <c r="F424" s="126">
        <f>F425</f>
        <v>5116098</v>
      </c>
    </row>
    <row r="425" spans="1:6" ht="25.5">
      <c r="A425" s="322" t="s">
        <v>431</v>
      </c>
      <c r="B425" s="127">
        <v>10</v>
      </c>
      <c r="C425" s="127" t="s">
        <v>507</v>
      </c>
      <c r="D425" s="140" t="s">
        <v>128</v>
      </c>
      <c r="E425" s="127"/>
      <c r="F425" s="126">
        <f>F426</f>
        <v>5116098</v>
      </c>
    </row>
    <row r="426" spans="1:6" ht="12.75">
      <c r="A426" s="139" t="s">
        <v>307</v>
      </c>
      <c r="B426" s="127">
        <v>10</v>
      </c>
      <c r="C426" s="127" t="s">
        <v>507</v>
      </c>
      <c r="D426" s="128" t="s">
        <v>227</v>
      </c>
      <c r="E426" s="127"/>
      <c r="F426" s="126">
        <f>SUM(F427:F428)</f>
        <v>5116098</v>
      </c>
    </row>
    <row r="427" spans="1:6" ht="25.5">
      <c r="A427" s="139" t="s">
        <v>212</v>
      </c>
      <c r="B427" s="127">
        <v>10</v>
      </c>
      <c r="C427" s="127" t="s">
        <v>507</v>
      </c>
      <c r="D427" s="128" t="s">
        <v>227</v>
      </c>
      <c r="E427" s="127">
        <v>200</v>
      </c>
      <c r="F427" s="138">
        <v>20382</v>
      </c>
    </row>
    <row r="428" spans="1:6" ht="12.75">
      <c r="A428" s="139" t="s">
        <v>79</v>
      </c>
      <c r="B428" s="127">
        <v>10</v>
      </c>
      <c r="C428" s="127" t="s">
        <v>507</v>
      </c>
      <c r="D428" s="128" t="s">
        <v>227</v>
      </c>
      <c r="E428" s="127">
        <v>300</v>
      </c>
      <c r="F428" s="138">
        <v>5095716</v>
      </c>
    </row>
    <row r="429" spans="1:6" ht="12.75">
      <c r="A429" s="132" t="s">
        <v>546</v>
      </c>
      <c r="B429" s="131" t="s">
        <v>527</v>
      </c>
      <c r="C429" s="131" t="s">
        <v>508</v>
      </c>
      <c r="D429" s="131" t="s">
        <v>85</v>
      </c>
      <c r="E429" s="131" t="s">
        <v>85</v>
      </c>
      <c r="F429" s="126">
        <f>F430+F447</f>
        <v>4776500</v>
      </c>
    </row>
    <row r="430" spans="1:6" ht="25.5">
      <c r="A430" s="130" t="s">
        <v>157</v>
      </c>
      <c r="B430" s="127" t="s">
        <v>527</v>
      </c>
      <c r="C430" s="127" t="s">
        <v>508</v>
      </c>
      <c r="D430" s="128" t="s">
        <v>207</v>
      </c>
      <c r="E430" s="127" t="s">
        <v>85</v>
      </c>
      <c r="F430" s="126">
        <f>F431+F441</f>
        <v>4441800</v>
      </c>
    </row>
    <row r="431" spans="1:6" ht="39" customHeight="1">
      <c r="A431" s="296" t="s">
        <v>355</v>
      </c>
      <c r="B431" s="127" t="s">
        <v>527</v>
      </c>
      <c r="C431" s="127" t="s">
        <v>508</v>
      </c>
      <c r="D431" s="140" t="s">
        <v>6</v>
      </c>
      <c r="E431" s="129" t="s">
        <v>85</v>
      </c>
      <c r="F431" s="126">
        <f>F432+F437</f>
        <v>3437700</v>
      </c>
    </row>
    <row r="432" spans="1:6" ht="40.5" customHeight="1">
      <c r="A432" s="322" t="s">
        <v>724</v>
      </c>
      <c r="B432" s="127" t="s">
        <v>527</v>
      </c>
      <c r="C432" s="127" t="s">
        <v>508</v>
      </c>
      <c r="D432" s="140" t="s">
        <v>725</v>
      </c>
      <c r="E432" s="129"/>
      <c r="F432" s="126">
        <f>F433</f>
        <v>2342900</v>
      </c>
    </row>
    <row r="433" spans="1:6" ht="25.5">
      <c r="A433" s="129" t="s">
        <v>365</v>
      </c>
      <c r="B433" s="127" t="s">
        <v>527</v>
      </c>
      <c r="C433" s="127" t="s">
        <v>508</v>
      </c>
      <c r="D433" s="128" t="s">
        <v>726</v>
      </c>
      <c r="E433" s="127" t="s">
        <v>85</v>
      </c>
      <c r="F433" s="126">
        <f>SUM(F434:F436)</f>
        <v>2342900</v>
      </c>
    </row>
    <row r="434" spans="1:6" ht="51">
      <c r="A434" s="139" t="s">
        <v>698</v>
      </c>
      <c r="B434" s="127" t="s">
        <v>527</v>
      </c>
      <c r="C434" s="127" t="s">
        <v>508</v>
      </c>
      <c r="D434" s="128" t="s">
        <v>726</v>
      </c>
      <c r="E434" s="127">
        <v>100</v>
      </c>
      <c r="F434" s="138">
        <v>2232400</v>
      </c>
    </row>
    <row r="435" spans="1:6" ht="25.5">
      <c r="A435" s="139" t="s">
        <v>212</v>
      </c>
      <c r="B435" s="127" t="s">
        <v>527</v>
      </c>
      <c r="C435" s="127" t="s">
        <v>508</v>
      </c>
      <c r="D435" s="128" t="s">
        <v>726</v>
      </c>
      <c r="E435" s="129">
        <v>200</v>
      </c>
      <c r="F435" s="138">
        <f>110000+500</f>
        <v>110500</v>
      </c>
    </row>
    <row r="436" spans="1:6" ht="12.75" hidden="1">
      <c r="A436" s="139" t="s">
        <v>75</v>
      </c>
      <c r="B436" s="127" t="s">
        <v>527</v>
      </c>
      <c r="C436" s="127" t="s">
        <v>508</v>
      </c>
      <c r="D436" s="128" t="s">
        <v>726</v>
      </c>
      <c r="E436" s="129">
        <v>800</v>
      </c>
      <c r="F436" s="138">
        <f>500-500</f>
        <v>0</v>
      </c>
    </row>
    <row r="437" spans="1:6" ht="51">
      <c r="A437" s="139" t="s">
        <v>673</v>
      </c>
      <c r="B437" s="127" t="s">
        <v>527</v>
      </c>
      <c r="C437" s="127" t="s">
        <v>508</v>
      </c>
      <c r="D437" s="128" t="s">
        <v>317</v>
      </c>
      <c r="E437" s="129"/>
      <c r="F437" s="138">
        <f>F438+F439+F440</f>
        <v>1094800</v>
      </c>
    </row>
    <row r="438" spans="1:6" ht="51">
      <c r="A438" s="139" t="s">
        <v>698</v>
      </c>
      <c r="B438" s="127" t="s">
        <v>527</v>
      </c>
      <c r="C438" s="127" t="s">
        <v>508</v>
      </c>
      <c r="D438" s="128" t="s">
        <v>317</v>
      </c>
      <c r="E438" s="129">
        <v>100</v>
      </c>
      <c r="F438" s="138">
        <f>982100-147315.02</f>
        <v>834784.98</v>
      </c>
    </row>
    <row r="439" spans="1:6" ht="25.5">
      <c r="A439" s="139" t="s">
        <v>212</v>
      </c>
      <c r="B439" s="127" t="s">
        <v>527</v>
      </c>
      <c r="C439" s="127" t="s">
        <v>508</v>
      </c>
      <c r="D439" s="128" t="s">
        <v>317</v>
      </c>
      <c r="E439" s="129">
        <v>200</v>
      </c>
      <c r="F439" s="138">
        <f>112200+500+147315.02</f>
        <v>260015.02</v>
      </c>
    </row>
    <row r="440" spans="1:6" ht="12.75" hidden="1">
      <c r="A440" s="125" t="s">
        <v>75</v>
      </c>
      <c r="B440" s="123" t="s">
        <v>527</v>
      </c>
      <c r="C440" s="123" t="s">
        <v>508</v>
      </c>
      <c r="D440" s="124" t="s">
        <v>317</v>
      </c>
      <c r="E440" s="137">
        <v>800</v>
      </c>
      <c r="F440" s="122">
        <f>500-500</f>
        <v>0</v>
      </c>
    </row>
    <row r="441" spans="1:6" ht="51">
      <c r="A441" s="296" t="s">
        <v>167</v>
      </c>
      <c r="B441" s="127" t="s">
        <v>527</v>
      </c>
      <c r="C441" s="127" t="s">
        <v>508</v>
      </c>
      <c r="D441" s="140" t="s">
        <v>7</v>
      </c>
      <c r="E441" s="129" t="s">
        <v>85</v>
      </c>
      <c r="F441" s="126">
        <f>F442</f>
        <v>1004100</v>
      </c>
    </row>
    <row r="442" spans="1:6" ht="38.25">
      <c r="A442" s="322" t="s">
        <v>561</v>
      </c>
      <c r="B442" s="127" t="s">
        <v>527</v>
      </c>
      <c r="C442" s="127" t="s">
        <v>508</v>
      </c>
      <c r="D442" s="140" t="s">
        <v>568</v>
      </c>
      <c r="E442" s="129"/>
      <c r="F442" s="126">
        <f>F443</f>
        <v>1004100</v>
      </c>
    </row>
    <row r="443" spans="1:6" ht="38.25">
      <c r="A443" s="139" t="s">
        <v>266</v>
      </c>
      <c r="B443" s="127" t="s">
        <v>527</v>
      </c>
      <c r="C443" s="127" t="s">
        <v>508</v>
      </c>
      <c r="D443" s="128" t="s">
        <v>426</v>
      </c>
      <c r="E443" s="129"/>
      <c r="F443" s="138">
        <f>SUM(F444:F446)</f>
        <v>1004100</v>
      </c>
    </row>
    <row r="444" spans="1:6" ht="51">
      <c r="A444" s="139" t="s">
        <v>698</v>
      </c>
      <c r="B444" s="127" t="s">
        <v>527</v>
      </c>
      <c r="C444" s="127" t="s">
        <v>508</v>
      </c>
      <c r="D444" s="128" t="s">
        <v>426</v>
      </c>
      <c r="E444" s="129">
        <v>100</v>
      </c>
      <c r="F444" s="138">
        <f>967900-9000-17758.9</f>
        <v>941141.1</v>
      </c>
    </row>
    <row r="445" spans="1:6" ht="25.5">
      <c r="A445" s="139" t="s">
        <v>212</v>
      </c>
      <c r="B445" s="127" t="s">
        <v>527</v>
      </c>
      <c r="C445" s="127" t="s">
        <v>508</v>
      </c>
      <c r="D445" s="128" t="s">
        <v>426</v>
      </c>
      <c r="E445" s="442" t="s">
        <v>72</v>
      </c>
      <c r="F445" s="138">
        <f>35800+9000+17758.9</f>
        <v>62558.9</v>
      </c>
    </row>
    <row r="446" spans="1:6" ht="12.75">
      <c r="A446" s="125" t="s">
        <v>75</v>
      </c>
      <c r="B446" s="127" t="s">
        <v>527</v>
      </c>
      <c r="C446" s="127" t="s">
        <v>508</v>
      </c>
      <c r="D446" s="128" t="s">
        <v>426</v>
      </c>
      <c r="E446" s="129">
        <v>800</v>
      </c>
      <c r="F446" s="138">
        <v>400</v>
      </c>
    </row>
    <row r="447" spans="1:6" ht="51">
      <c r="A447" s="130" t="s">
        <v>280</v>
      </c>
      <c r="B447" s="123" t="s">
        <v>527</v>
      </c>
      <c r="C447" s="123" t="s">
        <v>508</v>
      </c>
      <c r="D447" s="127" t="s">
        <v>12</v>
      </c>
      <c r="E447" s="127"/>
      <c r="F447" s="138">
        <f>F448</f>
        <v>334700</v>
      </c>
    </row>
    <row r="448" spans="1:6" ht="63.75">
      <c r="A448" s="296" t="s">
        <v>281</v>
      </c>
      <c r="B448" s="127" t="s">
        <v>527</v>
      </c>
      <c r="C448" s="127" t="s">
        <v>508</v>
      </c>
      <c r="D448" s="140" t="s">
        <v>13</v>
      </c>
      <c r="E448" s="129"/>
      <c r="F448" s="126">
        <f>F449</f>
        <v>334700</v>
      </c>
    </row>
    <row r="449" spans="1:6" ht="25.5">
      <c r="A449" s="322" t="s">
        <v>270</v>
      </c>
      <c r="B449" s="127" t="s">
        <v>527</v>
      </c>
      <c r="C449" s="127" t="s">
        <v>508</v>
      </c>
      <c r="D449" s="140" t="s">
        <v>259</v>
      </c>
      <c r="E449" s="129"/>
      <c r="F449" s="126">
        <f>F450</f>
        <v>334700</v>
      </c>
    </row>
    <row r="450" spans="1:6" ht="38.25">
      <c r="A450" s="139" t="s">
        <v>106</v>
      </c>
      <c r="B450" s="127" t="s">
        <v>527</v>
      </c>
      <c r="C450" s="127" t="s">
        <v>508</v>
      </c>
      <c r="D450" s="128" t="s">
        <v>271</v>
      </c>
      <c r="E450" s="129"/>
      <c r="F450" s="138">
        <f>SUM(F451:F451)</f>
        <v>334700</v>
      </c>
    </row>
    <row r="451" spans="1:6" ht="51">
      <c r="A451" s="139" t="s">
        <v>698</v>
      </c>
      <c r="B451" s="127" t="s">
        <v>527</v>
      </c>
      <c r="C451" s="127" t="s">
        <v>508</v>
      </c>
      <c r="D451" s="128" t="s">
        <v>271</v>
      </c>
      <c r="E451" s="129">
        <v>100</v>
      </c>
      <c r="F451" s="138">
        <v>334700</v>
      </c>
    </row>
    <row r="452" spans="1:6" ht="12.75">
      <c r="A452" s="136" t="s">
        <v>226</v>
      </c>
      <c r="B452" s="134" t="s">
        <v>510</v>
      </c>
      <c r="C452" s="135" t="s">
        <v>436</v>
      </c>
      <c r="D452" s="134" t="s">
        <v>85</v>
      </c>
      <c r="E452" s="134" t="s">
        <v>85</v>
      </c>
      <c r="F452" s="133">
        <f aca="true" t="shared" si="0" ref="F452:F457">F453</f>
        <v>100000</v>
      </c>
    </row>
    <row r="453" spans="1:6" ht="12.75">
      <c r="A453" s="132" t="s">
        <v>414</v>
      </c>
      <c r="B453" s="131" t="s">
        <v>510</v>
      </c>
      <c r="C453" s="131" t="s">
        <v>506</v>
      </c>
      <c r="D453" s="131" t="s">
        <v>85</v>
      </c>
      <c r="E453" s="131" t="s">
        <v>85</v>
      </c>
      <c r="F453" s="126">
        <f t="shared" si="0"/>
        <v>100000</v>
      </c>
    </row>
    <row r="454" spans="1:6" ht="38.25">
      <c r="A454" s="130" t="s">
        <v>413</v>
      </c>
      <c r="B454" s="127" t="s">
        <v>510</v>
      </c>
      <c r="C454" s="127" t="s">
        <v>506</v>
      </c>
      <c r="D454" s="128" t="s">
        <v>412</v>
      </c>
      <c r="E454" s="127" t="s">
        <v>85</v>
      </c>
      <c r="F454" s="126">
        <f t="shared" si="0"/>
        <v>100000</v>
      </c>
    </row>
    <row r="455" spans="1:6" ht="63.75">
      <c r="A455" s="70" t="s">
        <v>411</v>
      </c>
      <c r="B455" s="127" t="s">
        <v>510</v>
      </c>
      <c r="C455" s="127" t="s">
        <v>506</v>
      </c>
      <c r="D455" s="128" t="s">
        <v>232</v>
      </c>
      <c r="E455" s="129" t="s">
        <v>85</v>
      </c>
      <c r="F455" s="126">
        <f t="shared" si="0"/>
        <v>100000</v>
      </c>
    </row>
    <row r="456" spans="1:6" ht="51">
      <c r="A456" s="28" t="s">
        <v>231</v>
      </c>
      <c r="B456" s="127" t="s">
        <v>510</v>
      </c>
      <c r="C456" s="127" t="s">
        <v>506</v>
      </c>
      <c r="D456" s="128" t="s">
        <v>230</v>
      </c>
      <c r="E456" s="129"/>
      <c r="F456" s="126">
        <f t="shared" si="0"/>
        <v>100000</v>
      </c>
    </row>
    <row r="457" spans="1:6" ht="51">
      <c r="A457" s="28" t="s">
        <v>229</v>
      </c>
      <c r="B457" s="127" t="s">
        <v>510</v>
      </c>
      <c r="C457" s="127" t="s">
        <v>506</v>
      </c>
      <c r="D457" s="128" t="s">
        <v>228</v>
      </c>
      <c r="E457" s="129"/>
      <c r="F457" s="126">
        <f t="shared" si="0"/>
        <v>100000</v>
      </c>
    </row>
    <row r="458" spans="1:6" ht="25.5">
      <c r="A458" s="125" t="s">
        <v>212</v>
      </c>
      <c r="B458" s="123" t="s">
        <v>510</v>
      </c>
      <c r="C458" s="123" t="s">
        <v>506</v>
      </c>
      <c r="D458" s="124" t="s">
        <v>228</v>
      </c>
      <c r="E458" s="137">
        <v>200</v>
      </c>
      <c r="F458" s="122">
        <v>100000</v>
      </c>
    </row>
    <row r="459" spans="1:6" ht="12.75">
      <c r="A459" s="136" t="s">
        <v>73</v>
      </c>
      <c r="B459" s="134" t="s">
        <v>98</v>
      </c>
      <c r="C459" s="135" t="s">
        <v>436</v>
      </c>
      <c r="D459" s="134" t="s">
        <v>85</v>
      </c>
      <c r="E459" s="134" t="s">
        <v>85</v>
      </c>
      <c r="F459" s="133">
        <f aca="true" t="shared" si="1" ref="F459:F464">F460</f>
        <v>33000</v>
      </c>
    </row>
    <row r="460" spans="1:6" ht="25.5">
      <c r="A460" s="132" t="s">
        <v>74</v>
      </c>
      <c r="B460" s="131" t="s">
        <v>98</v>
      </c>
      <c r="C460" s="131" t="s">
        <v>504</v>
      </c>
      <c r="D460" s="131" t="s">
        <v>85</v>
      </c>
      <c r="E460" s="131" t="s">
        <v>85</v>
      </c>
      <c r="F460" s="126">
        <f t="shared" si="1"/>
        <v>33000</v>
      </c>
    </row>
    <row r="461" spans="1:6" ht="25.5">
      <c r="A461" s="130" t="s">
        <v>166</v>
      </c>
      <c r="B461" s="127" t="s">
        <v>98</v>
      </c>
      <c r="C461" s="127" t="s">
        <v>504</v>
      </c>
      <c r="D461" s="128" t="s">
        <v>656</v>
      </c>
      <c r="E461" s="127" t="s">
        <v>85</v>
      </c>
      <c r="F461" s="126">
        <f t="shared" si="1"/>
        <v>33000</v>
      </c>
    </row>
    <row r="462" spans="1:6" ht="38.25">
      <c r="A462" s="70" t="s">
        <v>366</v>
      </c>
      <c r="B462" s="127" t="s">
        <v>98</v>
      </c>
      <c r="C462" s="127" t="s">
        <v>504</v>
      </c>
      <c r="D462" s="128" t="s">
        <v>116</v>
      </c>
      <c r="E462" s="129" t="s">
        <v>85</v>
      </c>
      <c r="F462" s="126">
        <f t="shared" si="1"/>
        <v>33000</v>
      </c>
    </row>
    <row r="463" spans="1:6" ht="38.25">
      <c r="A463" s="28" t="s">
        <v>115</v>
      </c>
      <c r="B463" s="127" t="s">
        <v>98</v>
      </c>
      <c r="C463" s="127" t="s">
        <v>504</v>
      </c>
      <c r="D463" s="128" t="s">
        <v>117</v>
      </c>
      <c r="E463" s="129"/>
      <c r="F463" s="126">
        <f t="shared" si="1"/>
        <v>33000</v>
      </c>
    </row>
    <row r="464" spans="1:6" ht="12.75">
      <c r="A464" s="28" t="s">
        <v>118</v>
      </c>
      <c r="B464" s="127" t="s">
        <v>98</v>
      </c>
      <c r="C464" s="127" t="s">
        <v>504</v>
      </c>
      <c r="D464" s="128" t="s">
        <v>119</v>
      </c>
      <c r="E464" s="127" t="s">
        <v>85</v>
      </c>
      <c r="F464" s="126">
        <f t="shared" si="1"/>
        <v>33000</v>
      </c>
    </row>
    <row r="465" spans="1:6" ht="12.75">
      <c r="A465" s="125" t="s">
        <v>467</v>
      </c>
      <c r="B465" s="123" t="s">
        <v>98</v>
      </c>
      <c r="C465" s="123" t="s">
        <v>504</v>
      </c>
      <c r="D465" s="124" t="s">
        <v>119</v>
      </c>
      <c r="E465" s="123" t="s">
        <v>80</v>
      </c>
      <c r="F465" s="122">
        <f>55000-22000</f>
        <v>33000</v>
      </c>
    </row>
  </sheetData>
  <sheetProtection/>
  <mergeCells count="2">
    <mergeCell ref="B3:F3"/>
    <mergeCell ref="A4:F4"/>
  </mergeCells>
  <printOptions/>
  <pageMargins left="0.984251968503937" right="0.3937007874015748" top="0.3937007874015748" bottom="0.3937007874015748" header="0.31496062992125984" footer="0.31496062992125984"/>
  <pageSetup fitToHeight="0"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9999"/>
    <pageSetUpPr fitToPage="1"/>
  </sheetPr>
  <dimension ref="A1:H357"/>
  <sheetViews>
    <sheetView zoomScalePageLayoutView="0" workbookViewId="0" topLeftCell="A347">
      <selection activeCell="G358" sqref="G358"/>
    </sheetView>
  </sheetViews>
  <sheetFormatPr defaultColWidth="9.140625" defaultRowHeight="12.75"/>
  <cols>
    <col min="1" max="1" width="39.57421875" style="92" customWidth="1"/>
    <col min="2" max="2" width="3.8515625" style="92" customWidth="1"/>
    <col min="3" max="3" width="4.57421875" style="92" customWidth="1"/>
    <col min="4" max="4" width="13.140625" style="92" customWidth="1"/>
    <col min="5" max="5" width="4.57421875" style="92" customWidth="1"/>
    <col min="6" max="7" width="13.8515625" style="494" customWidth="1"/>
    <col min="8" max="16384" width="9.140625" style="92" customWidth="1"/>
  </cols>
  <sheetData>
    <row r="1" spans="1:7" ht="12.75">
      <c r="A1" s="90"/>
      <c r="B1" s="91"/>
      <c r="C1" s="91"/>
      <c r="D1" s="91"/>
      <c r="E1" s="91"/>
      <c r="F1" s="475"/>
      <c r="G1" s="475" t="s">
        <v>865</v>
      </c>
    </row>
    <row r="2" spans="1:7" ht="12.75">
      <c r="A2" s="90"/>
      <c r="B2" s="91"/>
      <c r="C2" s="91"/>
      <c r="D2" s="91"/>
      <c r="E2" s="91"/>
      <c r="F2" s="476"/>
      <c r="G2" s="476" t="s">
        <v>247</v>
      </c>
    </row>
    <row r="3" spans="1:8" ht="12.75">
      <c r="A3" s="508" t="s">
        <v>985</v>
      </c>
      <c r="B3" s="508"/>
      <c r="C3" s="508"/>
      <c r="D3" s="508"/>
      <c r="E3" s="508"/>
      <c r="F3" s="508"/>
      <c r="G3" s="508"/>
      <c r="H3" s="330"/>
    </row>
    <row r="4" spans="1:7" ht="38.25">
      <c r="A4" s="171" t="s">
        <v>861</v>
      </c>
      <c r="B4" s="171"/>
      <c r="C4" s="171"/>
      <c r="D4" s="171"/>
      <c r="E4" s="171"/>
      <c r="F4" s="477"/>
      <c r="G4" s="477"/>
    </row>
    <row r="5" spans="1:7" ht="12.75">
      <c r="A5" s="169"/>
      <c r="B5" s="169"/>
      <c r="C5" s="169"/>
      <c r="D5" s="169"/>
      <c r="E5" s="169"/>
      <c r="F5" s="478"/>
      <c r="G5" s="478" t="s">
        <v>86</v>
      </c>
    </row>
    <row r="6" spans="1:7" ht="22.5">
      <c r="A6" s="167" t="s">
        <v>82</v>
      </c>
      <c r="B6" s="167" t="s">
        <v>497</v>
      </c>
      <c r="C6" s="167" t="s">
        <v>498</v>
      </c>
      <c r="D6" s="167" t="s">
        <v>499</v>
      </c>
      <c r="E6" s="167" t="s">
        <v>500</v>
      </c>
      <c r="F6" s="479" t="s">
        <v>570</v>
      </c>
      <c r="G6" s="479" t="s">
        <v>874</v>
      </c>
    </row>
    <row r="7" spans="1:7" ht="12.75">
      <c r="A7" s="166" t="s">
        <v>70</v>
      </c>
      <c r="B7" s="166" t="s">
        <v>83</v>
      </c>
      <c r="C7" s="166" t="s">
        <v>71</v>
      </c>
      <c r="D7" s="166" t="s">
        <v>501</v>
      </c>
      <c r="E7" s="166" t="s">
        <v>502</v>
      </c>
      <c r="F7" s="480" t="s">
        <v>503</v>
      </c>
      <c r="G7" s="481">
        <v>7</v>
      </c>
    </row>
    <row r="8" spans="1:7" ht="12.75">
      <c r="A8" s="164" t="s">
        <v>87</v>
      </c>
      <c r="B8" s="163" t="s">
        <v>85</v>
      </c>
      <c r="C8" s="163" t="s">
        <v>85</v>
      </c>
      <c r="D8" s="163" t="s">
        <v>85</v>
      </c>
      <c r="E8" s="163" t="s">
        <v>85</v>
      </c>
      <c r="F8" s="482">
        <f>F9+F83+F89+F98+F145+F171+F254+F269+F275+F343+F350+F357</f>
        <v>483356646</v>
      </c>
      <c r="G8" s="482">
        <f>G9+G83+G89+G98+G145+G171+G254+G269+G275+G343+G350+G357</f>
        <v>444041858.38</v>
      </c>
    </row>
    <row r="9" spans="1:7" ht="12.75">
      <c r="A9" s="161" t="s">
        <v>566</v>
      </c>
      <c r="B9" s="159" t="s">
        <v>504</v>
      </c>
      <c r="C9" s="160" t="s">
        <v>436</v>
      </c>
      <c r="D9" s="159" t="s">
        <v>85</v>
      </c>
      <c r="E9" s="159" t="s">
        <v>85</v>
      </c>
      <c r="F9" s="483">
        <f>F10+F15+F22+F38+F43</f>
        <v>43459517</v>
      </c>
      <c r="G9" s="483">
        <f>G10+G15+G22+G38+G43</f>
        <v>41126144</v>
      </c>
    </row>
    <row r="10" spans="1:7" ht="38.25">
      <c r="A10" s="201" t="s">
        <v>505</v>
      </c>
      <c r="B10" s="200" t="s">
        <v>504</v>
      </c>
      <c r="C10" s="200" t="s">
        <v>506</v>
      </c>
      <c r="D10" s="200" t="s">
        <v>85</v>
      </c>
      <c r="E10" s="200" t="s">
        <v>85</v>
      </c>
      <c r="F10" s="484">
        <f aca="true" t="shared" si="0" ref="F10:G13">F11</f>
        <v>1366926</v>
      </c>
      <c r="G10" s="484">
        <f t="shared" si="0"/>
        <v>1283191</v>
      </c>
    </row>
    <row r="11" spans="1:7" ht="25.5">
      <c r="A11" s="13" t="s">
        <v>556</v>
      </c>
      <c r="B11" s="182" t="s">
        <v>504</v>
      </c>
      <c r="C11" s="182" t="s">
        <v>506</v>
      </c>
      <c r="D11" s="182" t="s">
        <v>649</v>
      </c>
      <c r="E11" s="182" t="s">
        <v>85</v>
      </c>
      <c r="F11" s="484">
        <f t="shared" si="0"/>
        <v>1366926</v>
      </c>
      <c r="G11" s="484">
        <f t="shared" si="0"/>
        <v>1283191</v>
      </c>
    </row>
    <row r="12" spans="1:7" ht="12.75">
      <c r="A12" s="13" t="s">
        <v>341</v>
      </c>
      <c r="B12" s="182" t="s">
        <v>504</v>
      </c>
      <c r="C12" s="182" t="s">
        <v>506</v>
      </c>
      <c r="D12" s="182" t="s">
        <v>650</v>
      </c>
      <c r="E12" s="185" t="s">
        <v>85</v>
      </c>
      <c r="F12" s="484">
        <f t="shared" si="0"/>
        <v>1366926</v>
      </c>
      <c r="G12" s="484">
        <f t="shared" si="0"/>
        <v>1283191</v>
      </c>
    </row>
    <row r="13" spans="1:7" ht="25.5">
      <c r="A13" s="185" t="s">
        <v>694</v>
      </c>
      <c r="B13" s="182" t="s">
        <v>504</v>
      </c>
      <c r="C13" s="182" t="s">
        <v>506</v>
      </c>
      <c r="D13" s="182" t="s">
        <v>651</v>
      </c>
      <c r="E13" s="182" t="s">
        <v>85</v>
      </c>
      <c r="F13" s="484">
        <f t="shared" si="0"/>
        <v>1366926</v>
      </c>
      <c r="G13" s="484">
        <f t="shared" si="0"/>
        <v>1283191</v>
      </c>
    </row>
    <row r="14" spans="1:7" ht="77.25" customHeight="1">
      <c r="A14" s="13" t="s">
        <v>698</v>
      </c>
      <c r="B14" s="182" t="s">
        <v>504</v>
      </c>
      <c r="C14" s="182" t="s">
        <v>506</v>
      </c>
      <c r="D14" s="182" t="s">
        <v>651</v>
      </c>
      <c r="E14" s="182" t="s">
        <v>565</v>
      </c>
      <c r="F14" s="485">
        <v>1366926</v>
      </c>
      <c r="G14" s="485">
        <v>1283191</v>
      </c>
    </row>
    <row r="15" spans="1:7" ht="63.75" customHeight="1">
      <c r="A15" s="201" t="s">
        <v>684</v>
      </c>
      <c r="B15" s="200" t="s">
        <v>504</v>
      </c>
      <c r="C15" s="200" t="s">
        <v>507</v>
      </c>
      <c r="D15" s="200" t="s">
        <v>85</v>
      </c>
      <c r="E15" s="200" t="s">
        <v>85</v>
      </c>
      <c r="F15" s="484">
        <f aca="true" t="shared" si="1" ref="F15:G17">F16</f>
        <v>12571750</v>
      </c>
      <c r="G15" s="484">
        <f t="shared" si="1"/>
        <v>11800895</v>
      </c>
    </row>
    <row r="16" spans="1:7" ht="25.5">
      <c r="A16" s="139" t="s">
        <v>443</v>
      </c>
      <c r="B16" s="127" t="s">
        <v>504</v>
      </c>
      <c r="C16" s="127" t="s">
        <v>507</v>
      </c>
      <c r="D16" s="127" t="s">
        <v>652</v>
      </c>
      <c r="E16" s="127" t="s">
        <v>85</v>
      </c>
      <c r="F16" s="486">
        <f t="shared" si="1"/>
        <v>12571750</v>
      </c>
      <c r="G16" s="486">
        <f t="shared" si="1"/>
        <v>11800895</v>
      </c>
    </row>
    <row r="17" spans="1:7" ht="25.5">
      <c r="A17" s="139" t="s">
        <v>447</v>
      </c>
      <c r="B17" s="127" t="s">
        <v>504</v>
      </c>
      <c r="C17" s="127" t="s">
        <v>507</v>
      </c>
      <c r="D17" s="127" t="s">
        <v>653</v>
      </c>
      <c r="E17" s="129" t="s">
        <v>85</v>
      </c>
      <c r="F17" s="486">
        <f t="shared" si="1"/>
        <v>12571750</v>
      </c>
      <c r="G17" s="486">
        <f t="shared" si="1"/>
        <v>11800895</v>
      </c>
    </row>
    <row r="18" spans="1:7" ht="25.5">
      <c r="A18" s="185" t="s">
        <v>694</v>
      </c>
      <c r="B18" s="182" t="s">
        <v>504</v>
      </c>
      <c r="C18" s="182" t="s">
        <v>507</v>
      </c>
      <c r="D18" s="182" t="s">
        <v>655</v>
      </c>
      <c r="E18" s="182" t="s">
        <v>85</v>
      </c>
      <c r="F18" s="484">
        <f>SUM(F19:F21)</f>
        <v>12571750</v>
      </c>
      <c r="G18" s="484">
        <f>SUM(G19:G21)</f>
        <v>11800895</v>
      </c>
    </row>
    <row r="19" spans="1:7" ht="80.25" customHeight="1">
      <c r="A19" s="13" t="s">
        <v>698</v>
      </c>
      <c r="B19" s="182" t="s">
        <v>504</v>
      </c>
      <c r="C19" s="182" t="s">
        <v>507</v>
      </c>
      <c r="D19" s="182" t="s">
        <v>655</v>
      </c>
      <c r="E19" s="182">
        <v>100</v>
      </c>
      <c r="F19" s="485">
        <v>11857799</v>
      </c>
      <c r="G19" s="485">
        <v>11130717</v>
      </c>
    </row>
    <row r="20" spans="1:7" ht="38.25">
      <c r="A20" s="13" t="s">
        <v>212</v>
      </c>
      <c r="B20" s="182" t="s">
        <v>504</v>
      </c>
      <c r="C20" s="182" t="s">
        <v>507</v>
      </c>
      <c r="D20" s="182" t="s">
        <v>655</v>
      </c>
      <c r="E20" s="182">
        <v>200</v>
      </c>
      <c r="F20" s="485">
        <f>209440+42500+314825+9600+14400</f>
        <v>590765</v>
      </c>
      <c r="G20" s="485">
        <f>196599+39894+295523+9011+13518</f>
        <v>554545</v>
      </c>
    </row>
    <row r="21" spans="1:7" ht="12.75">
      <c r="A21" s="13" t="s">
        <v>75</v>
      </c>
      <c r="B21" s="182" t="s">
        <v>504</v>
      </c>
      <c r="C21" s="182" t="s">
        <v>507</v>
      </c>
      <c r="D21" s="182" t="s">
        <v>655</v>
      </c>
      <c r="E21" s="182">
        <v>800</v>
      </c>
      <c r="F21" s="485">
        <v>123186</v>
      </c>
      <c r="G21" s="485">
        <v>115633</v>
      </c>
    </row>
    <row r="22" spans="1:7" ht="50.25" customHeight="1">
      <c r="A22" s="201" t="s">
        <v>329</v>
      </c>
      <c r="B22" s="200" t="s">
        <v>504</v>
      </c>
      <c r="C22" s="200" t="s">
        <v>508</v>
      </c>
      <c r="D22" s="200" t="s">
        <v>85</v>
      </c>
      <c r="E22" s="200" t="s">
        <v>85</v>
      </c>
      <c r="F22" s="484">
        <f>F23+F30</f>
        <v>5246452</v>
      </c>
      <c r="G22" s="484">
        <f>G23+G30</f>
        <v>4924788</v>
      </c>
    </row>
    <row r="23" spans="1:7" ht="38.25">
      <c r="A23" s="198" t="s">
        <v>166</v>
      </c>
      <c r="B23" s="182" t="s">
        <v>504</v>
      </c>
      <c r="C23" s="182" t="s">
        <v>508</v>
      </c>
      <c r="D23" s="182" t="s">
        <v>656</v>
      </c>
      <c r="E23" s="182" t="s">
        <v>85</v>
      </c>
      <c r="F23" s="484">
        <f aca="true" t="shared" si="2" ref="F23:G25">F24</f>
        <v>4221347</v>
      </c>
      <c r="G23" s="484">
        <f t="shared" si="2"/>
        <v>3962533</v>
      </c>
    </row>
    <row r="24" spans="1:7" ht="63.75">
      <c r="A24" s="12" t="s">
        <v>168</v>
      </c>
      <c r="B24" s="182" t="s">
        <v>504</v>
      </c>
      <c r="C24" s="182" t="s">
        <v>508</v>
      </c>
      <c r="D24" s="182" t="s">
        <v>657</v>
      </c>
      <c r="E24" s="185" t="s">
        <v>85</v>
      </c>
      <c r="F24" s="484">
        <f t="shared" si="2"/>
        <v>4221347</v>
      </c>
      <c r="G24" s="484">
        <f t="shared" si="2"/>
        <v>3962533</v>
      </c>
    </row>
    <row r="25" spans="1:7" ht="51">
      <c r="A25" s="28" t="s">
        <v>567</v>
      </c>
      <c r="B25" s="182" t="s">
        <v>504</v>
      </c>
      <c r="C25" s="182" t="s">
        <v>508</v>
      </c>
      <c r="D25" s="182" t="s">
        <v>296</v>
      </c>
      <c r="E25" s="185"/>
      <c r="F25" s="484">
        <f t="shared" si="2"/>
        <v>4221347</v>
      </c>
      <c r="G25" s="484">
        <f t="shared" si="2"/>
        <v>3962533</v>
      </c>
    </row>
    <row r="26" spans="1:7" ht="25.5">
      <c r="A26" s="185" t="s">
        <v>694</v>
      </c>
      <c r="B26" s="182" t="s">
        <v>504</v>
      </c>
      <c r="C26" s="182" t="s">
        <v>508</v>
      </c>
      <c r="D26" s="182" t="s">
        <v>658</v>
      </c>
      <c r="E26" s="182" t="s">
        <v>85</v>
      </c>
      <c r="F26" s="484">
        <f>SUM(F27:F29)</f>
        <v>4221347</v>
      </c>
      <c r="G26" s="484">
        <f>SUM(G27:G29)</f>
        <v>3962533</v>
      </c>
    </row>
    <row r="27" spans="1:7" ht="78" customHeight="1">
      <c r="A27" s="13" t="s">
        <v>698</v>
      </c>
      <c r="B27" s="182" t="s">
        <v>504</v>
      </c>
      <c r="C27" s="182" t="s">
        <v>508</v>
      </c>
      <c r="D27" s="182" t="s">
        <v>658</v>
      </c>
      <c r="E27" s="182">
        <v>100</v>
      </c>
      <c r="F27" s="485">
        <v>4151448</v>
      </c>
      <c r="G27" s="485">
        <v>3896920</v>
      </c>
    </row>
    <row r="28" spans="1:7" ht="38.25">
      <c r="A28" s="13" t="s">
        <v>212</v>
      </c>
      <c r="B28" s="182" t="s">
        <v>504</v>
      </c>
      <c r="C28" s="182" t="s">
        <v>508</v>
      </c>
      <c r="D28" s="182" t="s">
        <v>658</v>
      </c>
      <c r="E28" s="182" t="s">
        <v>72</v>
      </c>
      <c r="F28" s="485">
        <f>64899+5000</f>
        <v>69899</v>
      </c>
      <c r="G28" s="485">
        <f>60920+4693</f>
        <v>65613</v>
      </c>
    </row>
    <row r="29" spans="1:7" ht="12.75" hidden="1">
      <c r="A29" s="13" t="s">
        <v>75</v>
      </c>
      <c r="B29" s="182" t="s">
        <v>504</v>
      </c>
      <c r="C29" s="182" t="s">
        <v>508</v>
      </c>
      <c r="D29" s="182" t="s">
        <v>658</v>
      </c>
      <c r="E29" s="182">
        <v>800</v>
      </c>
      <c r="F29" s="485"/>
      <c r="G29" s="485"/>
    </row>
    <row r="30" spans="1:7" ht="38.25">
      <c r="A30" s="198" t="s">
        <v>164</v>
      </c>
      <c r="B30" s="182" t="s">
        <v>504</v>
      </c>
      <c r="C30" s="182" t="s">
        <v>508</v>
      </c>
      <c r="D30" s="183" t="s">
        <v>659</v>
      </c>
      <c r="E30" s="185" t="s">
        <v>85</v>
      </c>
      <c r="F30" s="484">
        <f>F31+F34</f>
        <v>1025105</v>
      </c>
      <c r="G30" s="484">
        <f>G31+G34</f>
        <v>962255</v>
      </c>
    </row>
    <row r="31" spans="1:7" ht="25.5">
      <c r="A31" s="12" t="s">
        <v>165</v>
      </c>
      <c r="B31" s="182" t="s">
        <v>504</v>
      </c>
      <c r="C31" s="182" t="s">
        <v>508</v>
      </c>
      <c r="D31" s="186" t="s">
        <v>660</v>
      </c>
      <c r="E31" s="182" t="s">
        <v>85</v>
      </c>
      <c r="F31" s="484">
        <f>F32</f>
        <v>664065</v>
      </c>
      <c r="G31" s="484">
        <f>G32</f>
        <v>623557</v>
      </c>
    </row>
    <row r="32" spans="1:7" ht="25.5">
      <c r="A32" s="185" t="s">
        <v>694</v>
      </c>
      <c r="B32" s="182" t="s">
        <v>504</v>
      </c>
      <c r="C32" s="182" t="s">
        <v>508</v>
      </c>
      <c r="D32" s="183" t="s">
        <v>661</v>
      </c>
      <c r="E32" s="182"/>
      <c r="F32" s="484">
        <f>SUM(F33:F33)</f>
        <v>664065</v>
      </c>
      <c r="G32" s="484">
        <f>SUM(G33:G33)</f>
        <v>623557</v>
      </c>
    </row>
    <row r="33" spans="1:7" ht="78" customHeight="1">
      <c r="A33" s="13" t="s">
        <v>698</v>
      </c>
      <c r="B33" s="182" t="s">
        <v>504</v>
      </c>
      <c r="C33" s="182" t="s">
        <v>508</v>
      </c>
      <c r="D33" s="183" t="s">
        <v>661</v>
      </c>
      <c r="E33" s="182">
        <v>100</v>
      </c>
      <c r="F33" s="485">
        <v>664065</v>
      </c>
      <c r="G33" s="485">
        <v>623557</v>
      </c>
    </row>
    <row r="34" spans="1:7" ht="25.5">
      <c r="A34" s="13" t="s">
        <v>38</v>
      </c>
      <c r="B34" s="182" t="s">
        <v>504</v>
      </c>
      <c r="C34" s="182" t="s">
        <v>508</v>
      </c>
      <c r="D34" s="186" t="s">
        <v>37</v>
      </c>
      <c r="E34" s="182"/>
      <c r="F34" s="484">
        <f>F35</f>
        <v>361040</v>
      </c>
      <c r="G34" s="484">
        <f>G35</f>
        <v>338698</v>
      </c>
    </row>
    <row r="35" spans="1:7" ht="25.5">
      <c r="A35" s="185" t="s">
        <v>694</v>
      </c>
      <c r="B35" s="182" t="s">
        <v>504</v>
      </c>
      <c r="C35" s="182" t="s">
        <v>508</v>
      </c>
      <c r="D35" s="183" t="s">
        <v>36</v>
      </c>
      <c r="E35" s="182"/>
      <c r="F35" s="484">
        <f>SUM(F36:F37)</f>
        <v>361040</v>
      </c>
      <c r="G35" s="484">
        <f>SUM(G36:G37)</f>
        <v>338698</v>
      </c>
    </row>
    <row r="36" spans="1:7" ht="75" customHeight="1">
      <c r="A36" s="13" t="s">
        <v>698</v>
      </c>
      <c r="B36" s="182" t="s">
        <v>504</v>
      </c>
      <c r="C36" s="182" t="s">
        <v>508</v>
      </c>
      <c r="D36" s="183" t="s">
        <v>36</v>
      </c>
      <c r="E36" s="182">
        <v>100</v>
      </c>
      <c r="F36" s="485">
        <v>361040</v>
      </c>
      <c r="G36" s="485">
        <v>338698</v>
      </c>
    </row>
    <row r="37" spans="1:7" ht="38.25" hidden="1">
      <c r="A37" s="13" t="s">
        <v>212</v>
      </c>
      <c r="B37" s="182" t="s">
        <v>504</v>
      </c>
      <c r="C37" s="182" t="s">
        <v>508</v>
      </c>
      <c r="D37" s="183" t="s">
        <v>36</v>
      </c>
      <c r="E37" s="182">
        <v>200</v>
      </c>
      <c r="F37" s="485"/>
      <c r="G37" s="485"/>
    </row>
    <row r="38" spans="1:7" ht="12.75">
      <c r="A38" s="201" t="s">
        <v>509</v>
      </c>
      <c r="B38" s="200" t="s">
        <v>504</v>
      </c>
      <c r="C38" s="200" t="s">
        <v>510</v>
      </c>
      <c r="D38" s="200" t="s">
        <v>85</v>
      </c>
      <c r="E38" s="200" t="s">
        <v>85</v>
      </c>
      <c r="F38" s="484">
        <f aca="true" t="shared" si="3" ref="F38:G41">F39</f>
        <v>100000</v>
      </c>
      <c r="G38" s="484">
        <f t="shared" si="3"/>
        <v>93869</v>
      </c>
    </row>
    <row r="39" spans="1:7" ht="25.5">
      <c r="A39" s="13" t="s">
        <v>169</v>
      </c>
      <c r="B39" s="182" t="s">
        <v>504</v>
      </c>
      <c r="C39" s="182" t="s">
        <v>510</v>
      </c>
      <c r="D39" s="182" t="s">
        <v>662</v>
      </c>
      <c r="E39" s="182" t="s">
        <v>85</v>
      </c>
      <c r="F39" s="484">
        <f t="shared" si="3"/>
        <v>100000</v>
      </c>
      <c r="G39" s="484">
        <f t="shared" si="3"/>
        <v>93869</v>
      </c>
    </row>
    <row r="40" spans="1:7" ht="12.75">
      <c r="A40" s="13" t="s">
        <v>509</v>
      </c>
      <c r="B40" s="182" t="s">
        <v>504</v>
      </c>
      <c r="C40" s="182" t="s">
        <v>510</v>
      </c>
      <c r="D40" s="182" t="s">
        <v>663</v>
      </c>
      <c r="E40" s="185" t="s">
        <v>85</v>
      </c>
      <c r="F40" s="484">
        <f t="shared" si="3"/>
        <v>100000</v>
      </c>
      <c r="G40" s="484">
        <f t="shared" si="3"/>
        <v>93869</v>
      </c>
    </row>
    <row r="41" spans="1:7" ht="22.5" customHeight="1">
      <c r="A41" s="185" t="s">
        <v>245</v>
      </c>
      <c r="B41" s="182" t="s">
        <v>504</v>
      </c>
      <c r="C41" s="182" t="s">
        <v>510</v>
      </c>
      <c r="D41" s="182" t="s">
        <v>206</v>
      </c>
      <c r="E41" s="196" t="s">
        <v>85</v>
      </c>
      <c r="F41" s="484">
        <f t="shared" si="3"/>
        <v>100000</v>
      </c>
      <c r="G41" s="484">
        <f t="shared" si="3"/>
        <v>93869</v>
      </c>
    </row>
    <row r="42" spans="1:7" ht="12.75">
      <c r="A42" s="13" t="s">
        <v>75</v>
      </c>
      <c r="B42" s="182" t="s">
        <v>504</v>
      </c>
      <c r="C42" s="182" t="s">
        <v>510</v>
      </c>
      <c r="D42" s="182" t="s">
        <v>206</v>
      </c>
      <c r="E42" s="182" t="s">
        <v>76</v>
      </c>
      <c r="F42" s="485">
        <v>100000</v>
      </c>
      <c r="G42" s="485">
        <v>93869</v>
      </c>
    </row>
    <row r="43" spans="1:7" ht="12.75">
      <c r="A43" s="201" t="s">
        <v>445</v>
      </c>
      <c r="B43" s="200" t="s">
        <v>504</v>
      </c>
      <c r="C43" s="200" t="s">
        <v>98</v>
      </c>
      <c r="D43" s="200" t="s">
        <v>85</v>
      </c>
      <c r="E43" s="200" t="s">
        <v>85</v>
      </c>
      <c r="F43" s="484">
        <f>F44+F50+F56+F66+F70+F61</f>
        <v>24174389</v>
      </c>
      <c r="G43" s="484">
        <f>G44+G50+G56+G66+G70+G61</f>
        <v>23023401</v>
      </c>
    </row>
    <row r="44" spans="1:7" ht="63.75" customHeight="1">
      <c r="A44" s="130" t="s">
        <v>674</v>
      </c>
      <c r="B44" s="182" t="s">
        <v>504</v>
      </c>
      <c r="C44" s="182" t="s">
        <v>98</v>
      </c>
      <c r="D44" s="183" t="s">
        <v>8</v>
      </c>
      <c r="E44" s="182" t="s">
        <v>85</v>
      </c>
      <c r="F44" s="484">
        <f aca="true" t="shared" si="4" ref="F44:G46">F45</f>
        <v>662105</v>
      </c>
      <c r="G44" s="484">
        <f t="shared" si="4"/>
        <v>903118</v>
      </c>
    </row>
    <row r="45" spans="1:7" ht="41.25" customHeight="1">
      <c r="A45" s="201" t="s">
        <v>450</v>
      </c>
      <c r="B45" s="182" t="s">
        <v>504</v>
      </c>
      <c r="C45" s="182" t="s">
        <v>98</v>
      </c>
      <c r="D45" s="183" t="s">
        <v>9</v>
      </c>
      <c r="E45" s="196" t="s">
        <v>85</v>
      </c>
      <c r="F45" s="484">
        <f t="shared" si="4"/>
        <v>662105</v>
      </c>
      <c r="G45" s="484">
        <f t="shared" si="4"/>
        <v>903118</v>
      </c>
    </row>
    <row r="46" spans="1:7" ht="51">
      <c r="A46" s="29" t="s">
        <v>35</v>
      </c>
      <c r="B46" s="182" t="s">
        <v>504</v>
      </c>
      <c r="C46" s="182" t="s">
        <v>98</v>
      </c>
      <c r="D46" s="183" t="s">
        <v>10</v>
      </c>
      <c r="E46" s="196"/>
      <c r="F46" s="484">
        <f t="shared" si="4"/>
        <v>662105</v>
      </c>
      <c r="G46" s="484">
        <f t="shared" si="4"/>
        <v>903118</v>
      </c>
    </row>
    <row r="47" spans="1:7" ht="25.5">
      <c r="A47" s="185" t="s">
        <v>267</v>
      </c>
      <c r="B47" s="182" t="s">
        <v>504</v>
      </c>
      <c r="C47" s="182" t="s">
        <v>98</v>
      </c>
      <c r="D47" s="183" t="s">
        <v>11</v>
      </c>
      <c r="E47" s="196" t="s">
        <v>85</v>
      </c>
      <c r="F47" s="484">
        <f>SUM(F48:F49)</f>
        <v>662105</v>
      </c>
      <c r="G47" s="484">
        <f>SUM(G48:G49)</f>
        <v>903118</v>
      </c>
    </row>
    <row r="48" spans="1:7" ht="38.25">
      <c r="A48" s="13" t="s">
        <v>212</v>
      </c>
      <c r="B48" s="182" t="s">
        <v>504</v>
      </c>
      <c r="C48" s="182" t="s">
        <v>98</v>
      </c>
      <c r="D48" s="183" t="s">
        <v>11</v>
      </c>
      <c r="E48" s="182" t="s">
        <v>72</v>
      </c>
      <c r="F48" s="485">
        <f>350000+153125-300000</f>
        <v>203125</v>
      </c>
      <c r="G48" s="485">
        <v>472278</v>
      </c>
    </row>
    <row r="49" spans="1:7" ht="12.75">
      <c r="A49" s="13" t="s">
        <v>75</v>
      </c>
      <c r="B49" s="182" t="s">
        <v>504</v>
      </c>
      <c r="C49" s="182" t="s">
        <v>98</v>
      </c>
      <c r="D49" s="183" t="s">
        <v>11</v>
      </c>
      <c r="E49" s="182">
        <v>800</v>
      </c>
      <c r="F49" s="485">
        <v>458980</v>
      </c>
      <c r="G49" s="485">
        <v>430840</v>
      </c>
    </row>
    <row r="50" spans="1:7" ht="61.5" customHeight="1">
      <c r="A50" s="198" t="s">
        <v>280</v>
      </c>
      <c r="B50" s="182" t="s">
        <v>504</v>
      </c>
      <c r="C50" s="182" t="s">
        <v>98</v>
      </c>
      <c r="D50" s="182" t="s">
        <v>12</v>
      </c>
      <c r="E50" s="182"/>
      <c r="F50" s="484">
        <f aca="true" t="shared" si="5" ref="F50:G53">F51</f>
        <v>50000</v>
      </c>
      <c r="G50" s="484">
        <f t="shared" si="5"/>
        <v>46934</v>
      </c>
    </row>
    <row r="51" spans="1:7" ht="91.5" customHeight="1">
      <c r="A51" s="355" t="s">
        <v>281</v>
      </c>
      <c r="B51" s="182" t="s">
        <v>504</v>
      </c>
      <c r="C51" s="182" t="s">
        <v>98</v>
      </c>
      <c r="D51" s="182" t="s">
        <v>13</v>
      </c>
      <c r="E51" s="182"/>
      <c r="F51" s="484">
        <f t="shared" si="5"/>
        <v>50000</v>
      </c>
      <c r="G51" s="484">
        <f t="shared" si="5"/>
        <v>46934</v>
      </c>
    </row>
    <row r="52" spans="1:7" ht="38.25">
      <c r="A52" s="53" t="s">
        <v>268</v>
      </c>
      <c r="B52" s="51" t="s">
        <v>504</v>
      </c>
      <c r="C52" s="51" t="s">
        <v>98</v>
      </c>
      <c r="D52" s="51" t="s">
        <v>107</v>
      </c>
      <c r="E52" s="51"/>
      <c r="F52" s="484">
        <f t="shared" si="5"/>
        <v>50000</v>
      </c>
      <c r="G52" s="484">
        <f t="shared" si="5"/>
        <v>46934</v>
      </c>
    </row>
    <row r="53" spans="1:7" ht="36">
      <c r="A53" s="30" t="s">
        <v>255</v>
      </c>
      <c r="B53" s="51" t="s">
        <v>504</v>
      </c>
      <c r="C53" s="51" t="s">
        <v>98</v>
      </c>
      <c r="D53" s="51" t="s">
        <v>269</v>
      </c>
      <c r="E53" s="51"/>
      <c r="F53" s="484">
        <f t="shared" si="5"/>
        <v>50000</v>
      </c>
      <c r="G53" s="484">
        <f t="shared" si="5"/>
        <v>46934</v>
      </c>
    </row>
    <row r="54" spans="1:7" ht="38.25">
      <c r="A54" s="53" t="s">
        <v>212</v>
      </c>
      <c r="B54" s="51" t="s">
        <v>504</v>
      </c>
      <c r="C54" s="51" t="s">
        <v>98</v>
      </c>
      <c r="D54" s="51" t="s">
        <v>269</v>
      </c>
      <c r="E54" s="51">
        <v>200</v>
      </c>
      <c r="F54" s="484">
        <v>50000</v>
      </c>
      <c r="G54" s="484">
        <v>46934</v>
      </c>
    </row>
    <row r="55" spans="1:7" ht="38.25" hidden="1">
      <c r="A55" s="13" t="s">
        <v>212</v>
      </c>
      <c r="B55" s="182" t="s">
        <v>504</v>
      </c>
      <c r="C55" s="182" t="s">
        <v>98</v>
      </c>
      <c r="D55" s="182" t="s">
        <v>271</v>
      </c>
      <c r="E55" s="182">
        <v>200</v>
      </c>
      <c r="F55" s="485"/>
      <c r="G55" s="485"/>
    </row>
    <row r="56" spans="1:7" ht="63.75">
      <c r="A56" s="198" t="s">
        <v>676</v>
      </c>
      <c r="B56" s="182" t="s">
        <v>504</v>
      </c>
      <c r="C56" s="182" t="s">
        <v>98</v>
      </c>
      <c r="D56" s="182" t="s">
        <v>108</v>
      </c>
      <c r="E56" s="182"/>
      <c r="F56" s="484">
        <f aca="true" t="shared" si="6" ref="F56:G59">F57</f>
        <v>30000</v>
      </c>
      <c r="G56" s="484">
        <f t="shared" si="6"/>
        <v>28161</v>
      </c>
    </row>
    <row r="57" spans="1:7" ht="77.25" customHeight="1">
      <c r="A57" s="12" t="s">
        <v>677</v>
      </c>
      <c r="B57" s="182" t="s">
        <v>504</v>
      </c>
      <c r="C57" s="182" t="s">
        <v>98</v>
      </c>
      <c r="D57" s="182" t="s">
        <v>109</v>
      </c>
      <c r="E57" s="182"/>
      <c r="F57" s="484">
        <f t="shared" si="6"/>
        <v>30000</v>
      </c>
      <c r="G57" s="484">
        <f t="shared" si="6"/>
        <v>28161</v>
      </c>
    </row>
    <row r="58" spans="1:7" ht="38.25">
      <c r="A58" s="13" t="s">
        <v>110</v>
      </c>
      <c r="B58" s="182" t="s">
        <v>504</v>
      </c>
      <c r="C58" s="182" t="s">
        <v>98</v>
      </c>
      <c r="D58" s="182" t="s">
        <v>111</v>
      </c>
      <c r="E58" s="182"/>
      <c r="F58" s="484">
        <f t="shared" si="6"/>
        <v>30000</v>
      </c>
      <c r="G58" s="484">
        <f t="shared" si="6"/>
        <v>28161</v>
      </c>
    </row>
    <row r="59" spans="1:7" ht="51">
      <c r="A59" s="13" t="s">
        <v>113</v>
      </c>
      <c r="B59" s="182" t="s">
        <v>504</v>
      </c>
      <c r="C59" s="182" t="s">
        <v>98</v>
      </c>
      <c r="D59" s="182" t="s">
        <v>112</v>
      </c>
      <c r="E59" s="182"/>
      <c r="F59" s="484">
        <f t="shared" si="6"/>
        <v>30000</v>
      </c>
      <c r="G59" s="484">
        <f t="shared" si="6"/>
        <v>28161</v>
      </c>
    </row>
    <row r="60" spans="1:7" ht="38.25">
      <c r="A60" s="13" t="s">
        <v>212</v>
      </c>
      <c r="B60" s="182" t="s">
        <v>504</v>
      </c>
      <c r="C60" s="182" t="s">
        <v>98</v>
      </c>
      <c r="D60" s="182" t="s">
        <v>112</v>
      </c>
      <c r="E60" s="182">
        <v>200</v>
      </c>
      <c r="F60" s="485">
        <v>30000</v>
      </c>
      <c r="G60" s="485">
        <v>28161</v>
      </c>
    </row>
    <row r="61" spans="1:7" ht="25.5">
      <c r="A61" s="139" t="s">
        <v>443</v>
      </c>
      <c r="B61" s="127" t="s">
        <v>504</v>
      </c>
      <c r="C61" s="127" t="s">
        <v>98</v>
      </c>
      <c r="D61" s="127" t="s">
        <v>652</v>
      </c>
      <c r="E61" s="127" t="s">
        <v>85</v>
      </c>
      <c r="F61" s="486">
        <f>F62</f>
        <v>334700</v>
      </c>
      <c r="G61" s="486">
        <f>G62</f>
        <v>334700</v>
      </c>
    </row>
    <row r="62" spans="1:7" ht="25.5">
      <c r="A62" s="139" t="s">
        <v>447</v>
      </c>
      <c r="B62" s="127" t="s">
        <v>504</v>
      </c>
      <c r="C62" s="127" t="s">
        <v>98</v>
      </c>
      <c r="D62" s="127" t="s">
        <v>653</v>
      </c>
      <c r="E62" s="129" t="s">
        <v>85</v>
      </c>
      <c r="F62" s="486">
        <f>F63</f>
        <v>334700</v>
      </c>
      <c r="G62" s="486">
        <f>G63</f>
        <v>334700</v>
      </c>
    </row>
    <row r="63" spans="1:7" ht="51">
      <c r="A63" s="139" t="s">
        <v>277</v>
      </c>
      <c r="B63" s="127" t="s">
        <v>504</v>
      </c>
      <c r="C63" s="127" t="s">
        <v>98</v>
      </c>
      <c r="D63" s="127" t="s">
        <v>654</v>
      </c>
      <c r="E63" s="129"/>
      <c r="F63" s="486">
        <f>SUM(F64:F65)</f>
        <v>334700</v>
      </c>
      <c r="G63" s="486">
        <f>SUM(G64:G65)</f>
        <v>334700</v>
      </c>
    </row>
    <row r="64" spans="1:7" ht="78.75" customHeight="1">
      <c r="A64" s="139" t="s">
        <v>698</v>
      </c>
      <c r="B64" s="127" t="s">
        <v>504</v>
      </c>
      <c r="C64" s="127" t="s">
        <v>98</v>
      </c>
      <c r="D64" s="127" t="s">
        <v>654</v>
      </c>
      <c r="E64" s="129">
        <v>100</v>
      </c>
      <c r="F64" s="487">
        <v>300582</v>
      </c>
      <c r="G64" s="487">
        <v>300582</v>
      </c>
    </row>
    <row r="65" spans="1:7" ht="38.25">
      <c r="A65" s="139" t="s">
        <v>212</v>
      </c>
      <c r="B65" s="127" t="s">
        <v>504</v>
      </c>
      <c r="C65" s="127" t="s">
        <v>98</v>
      </c>
      <c r="D65" s="127" t="s">
        <v>654</v>
      </c>
      <c r="E65" s="129">
        <v>200</v>
      </c>
      <c r="F65" s="487">
        <v>34118</v>
      </c>
      <c r="G65" s="487">
        <v>34118</v>
      </c>
    </row>
    <row r="66" spans="1:7" ht="38.25">
      <c r="A66" s="13" t="s">
        <v>494</v>
      </c>
      <c r="B66" s="182" t="s">
        <v>504</v>
      </c>
      <c r="C66" s="182" t="s">
        <v>98</v>
      </c>
      <c r="D66" s="183" t="s">
        <v>493</v>
      </c>
      <c r="E66" s="182"/>
      <c r="F66" s="484">
        <f aca="true" t="shared" si="7" ref="F66:G68">F67</f>
        <v>59900</v>
      </c>
      <c r="G66" s="484">
        <f t="shared" si="7"/>
        <v>56227</v>
      </c>
    </row>
    <row r="67" spans="1:7" ht="25.5">
      <c r="A67" s="12" t="s">
        <v>492</v>
      </c>
      <c r="B67" s="182" t="s">
        <v>504</v>
      </c>
      <c r="C67" s="182" t="s">
        <v>98</v>
      </c>
      <c r="D67" s="183" t="s">
        <v>491</v>
      </c>
      <c r="E67" s="182"/>
      <c r="F67" s="484">
        <f t="shared" si="7"/>
        <v>59900</v>
      </c>
      <c r="G67" s="484">
        <f t="shared" si="7"/>
        <v>56227</v>
      </c>
    </row>
    <row r="68" spans="1:7" ht="25.5">
      <c r="A68" s="185" t="s">
        <v>34</v>
      </c>
      <c r="B68" s="182" t="s">
        <v>504</v>
      </c>
      <c r="C68" s="182" t="s">
        <v>98</v>
      </c>
      <c r="D68" s="183" t="s">
        <v>679</v>
      </c>
      <c r="E68" s="182"/>
      <c r="F68" s="484">
        <f t="shared" si="7"/>
        <v>59900</v>
      </c>
      <c r="G68" s="484">
        <f t="shared" si="7"/>
        <v>56227</v>
      </c>
    </row>
    <row r="69" spans="1:7" ht="12.75">
      <c r="A69" s="13" t="s">
        <v>75</v>
      </c>
      <c r="B69" s="182" t="s">
        <v>504</v>
      </c>
      <c r="C69" s="182" t="s">
        <v>98</v>
      </c>
      <c r="D69" s="183" t="s">
        <v>679</v>
      </c>
      <c r="E69" s="182">
        <v>800</v>
      </c>
      <c r="F69" s="485">
        <v>59900</v>
      </c>
      <c r="G69" s="485">
        <v>56227</v>
      </c>
    </row>
    <row r="70" spans="1:7" ht="25.5">
      <c r="A70" s="198" t="s">
        <v>593</v>
      </c>
      <c r="B70" s="182" t="s">
        <v>504</v>
      </c>
      <c r="C70" s="182" t="s">
        <v>98</v>
      </c>
      <c r="D70" s="183" t="s">
        <v>14</v>
      </c>
      <c r="E70" s="196" t="s">
        <v>85</v>
      </c>
      <c r="F70" s="484">
        <f>F71</f>
        <v>23037684</v>
      </c>
      <c r="G70" s="484">
        <f>G71</f>
        <v>21654261</v>
      </c>
    </row>
    <row r="71" spans="1:7" ht="25.5">
      <c r="A71" s="12" t="s">
        <v>603</v>
      </c>
      <c r="B71" s="182" t="s">
        <v>504</v>
      </c>
      <c r="C71" s="182" t="s">
        <v>98</v>
      </c>
      <c r="D71" s="186" t="s">
        <v>16</v>
      </c>
      <c r="E71" s="197" t="s">
        <v>85</v>
      </c>
      <c r="F71" s="484">
        <f>F72+F76+F78+F80</f>
        <v>23037684</v>
      </c>
      <c r="G71" s="484">
        <f>G72+G76+G78+G80</f>
        <v>21654261</v>
      </c>
    </row>
    <row r="72" spans="1:7" ht="38.25">
      <c r="A72" s="185" t="s">
        <v>468</v>
      </c>
      <c r="B72" s="182" t="s">
        <v>504</v>
      </c>
      <c r="C72" s="182" t="s">
        <v>98</v>
      </c>
      <c r="D72" s="183" t="s">
        <v>17</v>
      </c>
      <c r="E72" s="196" t="s">
        <v>85</v>
      </c>
      <c r="F72" s="484">
        <f>SUM(F73:F75)</f>
        <v>22740334</v>
      </c>
      <c r="G72" s="484">
        <f>SUM(G73:G75)</f>
        <v>21346108</v>
      </c>
    </row>
    <row r="73" spans="1:7" ht="80.25" customHeight="1">
      <c r="A73" s="13" t="s">
        <v>698</v>
      </c>
      <c r="B73" s="182" t="s">
        <v>504</v>
      </c>
      <c r="C73" s="182" t="s">
        <v>98</v>
      </c>
      <c r="D73" s="183" t="s">
        <v>17</v>
      </c>
      <c r="E73" s="182" t="s">
        <v>565</v>
      </c>
      <c r="F73" s="485">
        <v>21759087</v>
      </c>
      <c r="G73" s="485">
        <f>15677788+4747234</f>
        <v>20425022</v>
      </c>
    </row>
    <row r="74" spans="1:7" ht="38.25">
      <c r="A74" s="13" t="s">
        <v>212</v>
      </c>
      <c r="B74" s="182" t="s">
        <v>504</v>
      </c>
      <c r="C74" s="182" t="s">
        <v>98</v>
      </c>
      <c r="D74" s="183" t="s">
        <v>17</v>
      </c>
      <c r="E74" s="182" t="s">
        <v>72</v>
      </c>
      <c r="F74" s="485">
        <f>29400+15000+350000+540000</f>
        <v>934400</v>
      </c>
      <c r="G74" s="485">
        <f>27597+14080+328541+506893</f>
        <v>877111</v>
      </c>
    </row>
    <row r="75" spans="1:7" ht="12.75">
      <c r="A75" s="13" t="s">
        <v>75</v>
      </c>
      <c r="B75" s="182" t="s">
        <v>504</v>
      </c>
      <c r="C75" s="182" t="s">
        <v>98</v>
      </c>
      <c r="D75" s="183" t="s">
        <v>17</v>
      </c>
      <c r="E75" s="182" t="s">
        <v>76</v>
      </c>
      <c r="F75" s="485">
        <v>46847</v>
      </c>
      <c r="G75" s="485">
        <v>43975</v>
      </c>
    </row>
    <row r="76" spans="1:7" ht="25.5" hidden="1">
      <c r="A76" s="185" t="s">
        <v>34</v>
      </c>
      <c r="B76" s="182" t="s">
        <v>504</v>
      </c>
      <c r="C76" s="182" t="s">
        <v>98</v>
      </c>
      <c r="D76" s="183" t="s">
        <v>325</v>
      </c>
      <c r="E76" s="182"/>
      <c r="F76" s="485">
        <f>F77</f>
        <v>0</v>
      </c>
      <c r="G76" s="485">
        <f>G77</f>
        <v>0</v>
      </c>
    </row>
    <row r="77" spans="1:7" ht="12.75" hidden="1">
      <c r="A77" s="13" t="s">
        <v>75</v>
      </c>
      <c r="B77" s="182" t="s">
        <v>504</v>
      </c>
      <c r="C77" s="182" t="s">
        <v>98</v>
      </c>
      <c r="D77" s="183" t="s">
        <v>325</v>
      </c>
      <c r="E77" s="182">
        <v>800</v>
      </c>
      <c r="F77" s="485"/>
      <c r="G77" s="485"/>
    </row>
    <row r="78" spans="1:7" ht="25.5" customHeight="1">
      <c r="A78" s="185" t="s">
        <v>438</v>
      </c>
      <c r="B78" s="182" t="s">
        <v>504</v>
      </c>
      <c r="C78" s="182" t="s">
        <v>98</v>
      </c>
      <c r="D78" s="183" t="s">
        <v>18</v>
      </c>
      <c r="E78" s="196" t="s">
        <v>85</v>
      </c>
      <c r="F78" s="484">
        <f>F79</f>
        <v>130000</v>
      </c>
      <c r="G78" s="484">
        <f>G79</f>
        <v>140803</v>
      </c>
    </row>
    <row r="79" spans="1:7" ht="38.25">
      <c r="A79" s="13" t="s">
        <v>212</v>
      </c>
      <c r="B79" s="182" t="s">
        <v>504</v>
      </c>
      <c r="C79" s="182" t="s">
        <v>98</v>
      </c>
      <c r="D79" s="183" t="s">
        <v>18</v>
      </c>
      <c r="E79" s="183">
        <v>200</v>
      </c>
      <c r="F79" s="485">
        <f>150000-20000</f>
        <v>130000</v>
      </c>
      <c r="G79" s="485">
        <v>140803</v>
      </c>
    </row>
    <row r="80" spans="1:7" ht="63.75">
      <c r="A80" s="27" t="s">
        <v>730</v>
      </c>
      <c r="B80" s="182" t="s">
        <v>504</v>
      </c>
      <c r="C80" s="182" t="s">
        <v>98</v>
      </c>
      <c r="D80" s="183" t="s">
        <v>44</v>
      </c>
      <c r="E80" s="183"/>
      <c r="F80" s="484">
        <f>SUM(F81:F82)</f>
        <v>167350</v>
      </c>
      <c r="G80" s="484">
        <f>SUM(G81:G82)</f>
        <v>167350</v>
      </c>
    </row>
    <row r="81" spans="1:7" ht="79.5" customHeight="1">
      <c r="A81" s="13" t="s">
        <v>698</v>
      </c>
      <c r="B81" s="182" t="s">
        <v>504</v>
      </c>
      <c r="C81" s="182" t="s">
        <v>98</v>
      </c>
      <c r="D81" s="183" t="s">
        <v>44</v>
      </c>
      <c r="E81" s="183">
        <v>100</v>
      </c>
      <c r="F81" s="487">
        <v>124992</v>
      </c>
      <c r="G81" s="487">
        <v>124992</v>
      </c>
    </row>
    <row r="82" spans="1:7" ht="38.25">
      <c r="A82" s="180" t="s">
        <v>212</v>
      </c>
      <c r="B82" s="178" t="s">
        <v>504</v>
      </c>
      <c r="C82" s="178" t="s">
        <v>98</v>
      </c>
      <c r="D82" s="179" t="s">
        <v>44</v>
      </c>
      <c r="E82" s="179">
        <v>200</v>
      </c>
      <c r="F82" s="488">
        <v>42358</v>
      </c>
      <c r="G82" s="488">
        <v>42358</v>
      </c>
    </row>
    <row r="83" spans="1:7" ht="12.75">
      <c r="A83" s="161" t="s">
        <v>496</v>
      </c>
      <c r="B83" s="159" t="s">
        <v>506</v>
      </c>
      <c r="C83" s="203" t="s">
        <v>436</v>
      </c>
      <c r="D83" s="159" t="s">
        <v>85</v>
      </c>
      <c r="E83" s="159" t="s">
        <v>85</v>
      </c>
      <c r="F83" s="483">
        <f aca="true" t="shared" si="8" ref="F83:G87">F84</f>
        <v>16200</v>
      </c>
      <c r="G83" s="483">
        <f t="shared" si="8"/>
        <v>15207</v>
      </c>
    </row>
    <row r="84" spans="1:7" ht="12.75">
      <c r="A84" s="201" t="s">
        <v>495</v>
      </c>
      <c r="B84" s="200" t="s">
        <v>506</v>
      </c>
      <c r="C84" s="200" t="s">
        <v>507</v>
      </c>
      <c r="D84" s="199" t="s">
        <v>85</v>
      </c>
      <c r="E84" s="199" t="s">
        <v>85</v>
      </c>
      <c r="F84" s="484">
        <f t="shared" si="8"/>
        <v>16200</v>
      </c>
      <c r="G84" s="484">
        <f t="shared" si="8"/>
        <v>15207</v>
      </c>
    </row>
    <row r="85" spans="1:7" ht="38.25">
      <c r="A85" s="13" t="s">
        <v>494</v>
      </c>
      <c r="B85" s="182" t="s">
        <v>506</v>
      </c>
      <c r="C85" s="182" t="s">
        <v>507</v>
      </c>
      <c r="D85" s="183" t="s">
        <v>493</v>
      </c>
      <c r="E85" s="196" t="s">
        <v>85</v>
      </c>
      <c r="F85" s="484">
        <f t="shared" si="8"/>
        <v>16200</v>
      </c>
      <c r="G85" s="484">
        <f t="shared" si="8"/>
        <v>15207</v>
      </c>
    </row>
    <row r="86" spans="1:7" ht="25.5">
      <c r="A86" s="13" t="s">
        <v>492</v>
      </c>
      <c r="B86" s="182" t="s">
        <v>506</v>
      </c>
      <c r="C86" s="182" t="s">
        <v>507</v>
      </c>
      <c r="D86" s="183" t="s">
        <v>491</v>
      </c>
      <c r="E86" s="196"/>
      <c r="F86" s="484">
        <f t="shared" si="8"/>
        <v>16200</v>
      </c>
      <c r="G86" s="484">
        <f t="shared" si="8"/>
        <v>15207</v>
      </c>
    </row>
    <row r="87" spans="1:7" ht="25.5">
      <c r="A87" s="33" t="s">
        <v>490</v>
      </c>
      <c r="B87" s="182" t="s">
        <v>506</v>
      </c>
      <c r="C87" s="182" t="s">
        <v>507</v>
      </c>
      <c r="D87" s="183" t="s">
        <v>489</v>
      </c>
      <c r="E87" s="197" t="s">
        <v>85</v>
      </c>
      <c r="F87" s="484">
        <f t="shared" si="8"/>
        <v>16200</v>
      </c>
      <c r="G87" s="484">
        <f t="shared" si="8"/>
        <v>15207</v>
      </c>
    </row>
    <row r="88" spans="1:7" ht="27.75" customHeight="1">
      <c r="A88" s="180" t="s">
        <v>89</v>
      </c>
      <c r="B88" s="178" t="s">
        <v>506</v>
      </c>
      <c r="C88" s="178" t="s">
        <v>507</v>
      </c>
      <c r="D88" s="179" t="s">
        <v>489</v>
      </c>
      <c r="E88" s="178">
        <v>200</v>
      </c>
      <c r="F88" s="489">
        <v>16200</v>
      </c>
      <c r="G88" s="489">
        <v>15207</v>
      </c>
    </row>
    <row r="89" spans="1:7" ht="25.5">
      <c r="A89" s="161" t="s">
        <v>446</v>
      </c>
      <c r="B89" s="159" t="s">
        <v>99</v>
      </c>
      <c r="C89" s="203" t="s">
        <v>436</v>
      </c>
      <c r="D89" s="159" t="s">
        <v>85</v>
      </c>
      <c r="E89" s="159" t="s">
        <v>85</v>
      </c>
      <c r="F89" s="483">
        <f aca="true" t="shared" si="9" ref="F89:G93">F90</f>
        <v>2707710</v>
      </c>
      <c r="G89" s="483">
        <f t="shared" si="9"/>
        <v>2541699</v>
      </c>
    </row>
    <row r="90" spans="1:7" ht="51">
      <c r="A90" s="201" t="s">
        <v>455</v>
      </c>
      <c r="B90" s="200" t="s">
        <v>99</v>
      </c>
      <c r="C90" s="200">
        <v>10</v>
      </c>
      <c r="D90" s="200" t="s">
        <v>85</v>
      </c>
      <c r="E90" s="200" t="s">
        <v>85</v>
      </c>
      <c r="F90" s="484">
        <f t="shared" si="9"/>
        <v>2707710</v>
      </c>
      <c r="G90" s="484">
        <f t="shared" si="9"/>
        <v>2541699</v>
      </c>
    </row>
    <row r="91" spans="1:7" ht="76.5">
      <c r="A91" s="198" t="s">
        <v>456</v>
      </c>
      <c r="B91" s="182" t="s">
        <v>99</v>
      </c>
      <c r="C91" s="182">
        <v>10</v>
      </c>
      <c r="D91" s="183" t="s">
        <v>19</v>
      </c>
      <c r="E91" s="182" t="s">
        <v>85</v>
      </c>
      <c r="F91" s="484">
        <f t="shared" si="9"/>
        <v>2707710</v>
      </c>
      <c r="G91" s="484">
        <f t="shared" si="9"/>
        <v>2541699</v>
      </c>
    </row>
    <row r="92" spans="1:7" ht="100.5" customHeight="1">
      <c r="A92" s="12" t="s">
        <v>278</v>
      </c>
      <c r="B92" s="182" t="s">
        <v>99</v>
      </c>
      <c r="C92" s="182">
        <v>10</v>
      </c>
      <c r="D92" s="183" t="s">
        <v>845</v>
      </c>
      <c r="E92" s="182"/>
      <c r="F92" s="484">
        <f t="shared" si="9"/>
        <v>2707710</v>
      </c>
      <c r="G92" s="484">
        <f t="shared" si="9"/>
        <v>2541699</v>
      </c>
    </row>
    <row r="93" spans="1:7" ht="77.25" customHeight="1">
      <c r="A93" s="28" t="s">
        <v>243</v>
      </c>
      <c r="B93" s="182" t="s">
        <v>99</v>
      </c>
      <c r="C93" s="182">
        <v>10</v>
      </c>
      <c r="D93" s="183" t="s">
        <v>881</v>
      </c>
      <c r="E93" s="182"/>
      <c r="F93" s="484">
        <f t="shared" si="9"/>
        <v>2707710</v>
      </c>
      <c r="G93" s="484">
        <f t="shared" si="9"/>
        <v>2541699</v>
      </c>
    </row>
    <row r="94" spans="1:7" ht="38.25">
      <c r="A94" s="185" t="s">
        <v>468</v>
      </c>
      <c r="B94" s="182" t="s">
        <v>99</v>
      </c>
      <c r="C94" s="182">
        <v>10</v>
      </c>
      <c r="D94" s="183" t="s">
        <v>876</v>
      </c>
      <c r="E94" s="182" t="s">
        <v>85</v>
      </c>
      <c r="F94" s="484">
        <f>SUM(F95:F97)</f>
        <v>2707710</v>
      </c>
      <c r="G94" s="484">
        <f>SUM(G95:G97)</f>
        <v>2541699</v>
      </c>
    </row>
    <row r="95" spans="1:7" ht="79.5" customHeight="1">
      <c r="A95" s="13" t="s">
        <v>698</v>
      </c>
      <c r="B95" s="182" t="s">
        <v>99</v>
      </c>
      <c r="C95" s="182">
        <v>10</v>
      </c>
      <c r="D95" s="183" t="s">
        <v>876</v>
      </c>
      <c r="E95" s="182" t="s">
        <v>565</v>
      </c>
      <c r="F95" s="485">
        <v>2562144</v>
      </c>
      <c r="G95" s="485">
        <v>2405057</v>
      </c>
    </row>
    <row r="96" spans="1:7" ht="38.25">
      <c r="A96" s="13" t="s">
        <v>212</v>
      </c>
      <c r="B96" s="182" t="s">
        <v>99</v>
      </c>
      <c r="C96" s="182">
        <v>10</v>
      </c>
      <c r="D96" s="183" t="s">
        <v>876</v>
      </c>
      <c r="E96" s="182" t="s">
        <v>72</v>
      </c>
      <c r="F96" s="485">
        <f>46000+63026+35340</f>
        <v>144366</v>
      </c>
      <c r="G96" s="485">
        <f>43180+33173+59162</f>
        <v>135515</v>
      </c>
    </row>
    <row r="97" spans="1:7" ht="12.75">
      <c r="A97" s="180" t="s">
        <v>75</v>
      </c>
      <c r="B97" s="178" t="s">
        <v>99</v>
      </c>
      <c r="C97" s="178">
        <v>10</v>
      </c>
      <c r="D97" s="183" t="s">
        <v>876</v>
      </c>
      <c r="E97" s="178" t="s">
        <v>76</v>
      </c>
      <c r="F97" s="489">
        <v>1200</v>
      </c>
      <c r="G97" s="489">
        <v>1127</v>
      </c>
    </row>
    <row r="98" spans="1:7" ht="12.75">
      <c r="A98" s="161" t="s">
        <v>686</v>
      </c>
      <c r="B98" s="159" t="s">
        <v>507</v>
      </c>
      <c r="C98" s="203" t="s">
        <v>436</v>
      </c>
      <c r="D98" s="159" t="s">
        <v>85</v>
      </c>
      <c r="E98" s="159" t="s">
        <v>85</v>
      </c>
      <c r="F98" s="483">
        <f>F99+F116+F132+F110</f>
        <v>5980650.8</v>
      </c>
      <c r="G98" s="483">
        <f>G99+G116+G132+G110</f>
        <v>34358876.54</v>
      </c>
    </row>
    <row r="99" spans="1:7" ht="12.75">
      <c r="A99" s="201" t="s">
        <v>687</v>
      </c>
      <c r="B99" s="200" t="s">
        <v>507</v>
      </c>
      <c r="C99" s="200" t="s">
        <v>504</v>
      </c>
      <c r="D99" s="200" t="s">
        <v>85</v>
      </c>
      <c r="E99" s="200" t="s">
        <v>85</v>
      </c>
      <c r="F99" s="484">
        <f>F100</f>
        <v>428121</v>
      </c>
      <c r="G99" s="484">
        <f>G100</f>
        <v>422394</v>
      </c>
    </row>
    <row r="100" spans="1:7" ht="40.5" customHeight="1">
      <c r="A100" s="198" t="s">
        <v>665</v>
      </c>
      <c r="B100" s="182" t="s">
        <v>507</v>
      </c>
      <c r="C100" s="182" t="s">
        <v>504</v>
      </c>
      <c r="D100" s="183" t="s">
        <v>21</v>
      </c>
      <c r="E100" s="182" t="s">
        <v>85</v>
      </c>
      <c r="F100" s="484">
        <f>F101+F105</f>
        <v>428121</v>
      </c>
      <c r="G100" s="484">
        <f>G101+G105</f>
        <v>422394</v>
      </c>
    </row>
    <row r="101" spans="1:7" ht="63" customHeight="1">
      <c r="A101" s="12" t="s">
        <v>557</v>
      </c>
      <c r="B101" s="182" t="s">
        <v>507</v>
      </c>
      <c r="C101" s="182" t="s">
        <v>504</v>
      </c>
      <c r="D101" s="183" t="s">
        <v>22</v>
      </c>
      <c r="E101" s="182"/>
      <c r="F101" s="484">
        <f aca="true" t="shared" si="10" ref="F101:G103">F102</f>
        <v>93421</v>
      </c>
      <c r="G101" s="484">
        <f t="shared" si="10"/>
        <v>87694</v>
      </c>
    </row>
    <row r="102" spans="1:7" ht="50.25" customHeight="1">
      <c r="A102" s="29" t="s">
        <v>488</v>
      </c>
      <c r="B102" s="182" t="s">
        <v>507</v>
      </c>
      <c r="C102" s="182" t="s">
        <v>504</v>
      </c>
      <c r="D102" s="183" t="s">
        <v>23</v>
      </c>
      <c r="E102" s="182"/>
      <c r="F102" s="484">
        <f t="shared" si="10"/>
        <v>93421</v>
      </c>
      <c r="G102" s="484">
        <f t="shared" si="10"/>
        <v>87694</v>
      </c>
    </row>
    <row r="103" spans="1:7" ht="25.5">
      <c r="A103" s="13" t="s">
        <v>664</v>
      </c>
      <c r="B103" s="182" t="s">
        <v>507</v>
      </c>
      <c r="C103" s="182" t="s">
        <v>504</v>
      </c>
      <c r="D103" s="183" t="s">
        <v>24</v>
      </c>
      <c r="E103" s="182"/>
      <c r="F103" s="484">
        <f t="shared" si="10"/>
        <v>93421</v>
      </c>
      <c r="G103" s="484">
        <f t="shared" si="10"/>
        <v>87694</v>
      </c>
    </row>
    <row r="104" spans="1:7" ht="39.75" customHeight="1">
      <c r="A104" s="13" t="s">
        <v>88</v>
      </c>
      <c r="B104" s="182" t="s">
        <v>507</v>
      </c>
      <c r="C104" s="182" t="s">
        <v>504</v>
      </c>
      <c r="D104" s="183" t="s">
        <v>24</v>
      </c>
      <c r="E104" s="182">
        <v>600</v>
      </c>
      <c r="F104" s="485">
        <v>93421</v>
      </c>
      <c r="G104" s="485">
        <v>87694</v>
      </c>
    </row>
    <row r="105" spans="1:7" ht="51">
      <c r="A105" s="12" t="s">
        <v>558</v>
      </c>
      <c r="B105" s="182" t="s">
        <v>507</v>
      </c>
      <c r="C105" s="182" t="s">
        <v>504</v>
      </c>
      <c r="D105" s="183" t="s">
        <v>26</v>
      </c>
      <c r="E105" s="182"/>
      <c r="F105" s="484">
        <f>F106</f>
        <v>334700</v>
      </c>
      <c r="G105" s="484">
        <f>G106</f>
        <v>334700</v>
      </c>
    </row>
    <row r="106" spans="1:7" ht="63.75">
      <c r="A106" s="28" t="s">
        <v>427</v>
      </c>
      <c r="B106" s="182" t="s">
        <v>507</v>
      </c>
      <c r="C106" s="182" t="s">
        <v>504</v>
      </c>
      <c r="D106" s="183" t="s">
        <v>27</v>
      </c>
      <c r="E106" s="182"/>
      <c r="F106" s="484">
        <f>F107</f>
        <v>334700</v>
      </c>
      <c r="G106" s="484">
        <f>G107</f>
        <v>334700</v>
      </c>
    </row>
    <row r="107" spans="1:7" ht="38.25">
      <c r="A107" s="185" t="s">
        <v>444</v>
      </c>
      <c r="B107" s="182" t="s">
        <v>507</v>
      </c>
      <c r="C107" s="182" t="s">
        <v>504</v>
      </c>
      <c r="D107" s="183" t="s">
        <v>28</v>
      </c>
      <c r="E107" s="196" t="s">
        <v>85</v>
      </c>
      <c r="F107" s="484">
        <f>SUM(F108:F109)</f>
        <v>334700</v>
      </c>
      <c r="G107" s="484">
        <f>SUM(G108:G109)</f>
        <v>334700</v>
      </c>
    </row>
    <row r="108" spans="1:7" ht="75" customHeight="1">
      <c r="A108" s="13" t="s">
        <v>698</v>
      </c>
      <c r="B108" s="182" t="s">
        <v>507</v>
      </c>
      <c r="C108" s="182" t="s">
        <v>504</v>
      </c>
      <c r="D108" s="183" t="s">
        <v>28</v>
      </c>
      <c r="E108" s="182">
        <v>100</v>
      </c>
      <c r="F108" s="485">
        <f>334700-3000</f>
        <v>331700</v>
      </c>
      <c r="G108" s="485">
        <f>334700-3000</f>
        <v>331700</v>
      </c>
    </row>
    <row r="109" spans="1:7" ht="23.25" customHeight="1">
      <c r="A109" s="180" t="s">
        <v>89</v>
      </c>
      <c r="B109" s="182" t="s">
        <v>507</v>
      </c>
      <c r="C109" s="182" t="s">
        <v>504</v>
      </c>
      <c r="D109" s="183" t="s">
        <v>28</v>
      </c>
      <c r="E109" s="182">
        <v>200</v>
      </c>
      <c r="F109" s="485">
        <v>3000</v>
      </c>
      <c r="G109" s="485">
        <v>3000</v>
      </c>
    </row>
    <row r="110" spans="1:7" ht="12.75">
      <c r="A110" s="132" t="s">
        <v>848</v>
      </c>
      <c r="B110" s="131" t="s">
        <v>507</v>
      </c>
      <c r="C110" s="131" t="s">
        <v>526</v>
      </c>
      <c r="D110" s="131"/>
      <c r="E110" s="131"/>
      <c r="F110" s="486">
        <f aca="true" t="shared" si="11" ref="F110:G114">F111</f>
        <v>1534576.8</v>
      </c>
      <c r="G110" s="486">
        <f t="shared" si="11"/>
        <v>0</v>
      </c>
    </row>
    <row r="111" spans="1:7" ht="23.25" customHeight="1">
      <c r="A111" s="130" t="s">
        <v>452</v>
      </c>
      <c r="B111" s="127" t="s">
        <v>507</v>
      </c>
      <c r="C111" s="127" t="s">
        <v>526</v>
      </c>
      <c r="D111" s="128" t="s">
        <v>852</v>
      </c>
      <c r="E111" s="127"/>
      <c r="F111" s="486">
        <f t="shared" si="11"/>
        <v>1534576.8</v>
      </c>
      <c r="G111" s="486">
        <f t="shared" si="11"/>
        <v>0</v>
      </c>
    </row>
    <row r="112" spans="1:7" ht="23.25" customHeight="1">
      <c r="A112" s="70" t="s">
        <v>849</v>
      </c>
      <c r="B112" s="127" t="s">
        <v>507</v>
      </c>
      <c r="C112" s="127" t="s">
        <v>526</v>
      </c>
      <c r="D112" s="128" t="s">
        <v>853</v>
      </c>
      <c r="E112" s="127"/>
      <c r="F112" s="486">
        <f t="shared" si="11"/>
        <v>1534576.8</v>
      </c>
      <c r="G112" s="486">
        <f t="shared" si="11"/>
        <v>0</v>
      </c>
    </row>
    <row r="113" spans="1:7" ht="23.25" customHeight="1">
      <c r="A113" s="139" t="s">
        <v>850</v>
      </c>
      <c r="B113" s="127" t="s">
        <v>507</v>
      </c>
      <c r="C113" s="127" t="s">
        <v>526</v>
      </c>
      <c r="D113" s="128" t="s">
        <v>854</v>
      </c>
      <c r="E113" s="127"/>
      <c r="F113" s="487">
        <f t="shared" si="11"/>
        <v>1534576.8</v>
      </c>
      <c r="G113" s="487">
        <f t="shared" si="11"/>
        <v>0</v>
      </c>
    </row>
    <row r="114" spans="1:7" ht="12.75">
      <c r="A114" s="139" t="s">
        <v>851</v>
      </c>
      <c r="B114" s="127" t="s">
        <v>507</v>
      </c>
      <c r="C114" s="127" t="s">
        <v>526</v>
      </c>
      <c r="D114" s="128" t="s">
        <v>855</v>
      </c>
      <c r="E114" s="127"/>
      <c r="F114" s="487">
        <f t="shared" si="11"/>
        <v>1534576.8</v>
      </c>
      <c r="G114" s="487">
        <f t="shared" si="11"/>
        <v>0</v>
      </c>
    </row>
    <row r="115" spans="1:7" ht="23.25" customHeight="1">
      <c r="A115" s="139" t="s">
        <v>212</v>
      </c>
      <c r="B115" s="127" t="s">
        <v>507</v>
      </c>
      <c r="C115" s="127" t="s">
        <v>526</v>
      </c>
      <c r="D115" s="128" t="s">
        <v>855</v>
      </c>
      <c r="E115" s="127" t="s">
        <v>72</v>
      </c>
      <c r="F115" s="487">
        <v>1534576.8</v>
      </c>
      <c r="G115" s="487"/>
    </row>
    <row r="116" spans="1:7" ht="12.75">
      <c r="A116" s="201" t="s">
        <v>84</v>
      </c>
      <c r="B116" s="200" t="s">
        <v>507</v>
      </c>
      <c r="C116" s="200" t="s">
        <v>100</v>
      </c>
      <c r="D116" s="199" t="s">
        <v>85</v>
      </c>
      <c r="E116" s="199" t="s">
        <v>85</v>
      </c>
      <c r="F116" s="484">
        <f>F117</f>
        <v>2927430</v>
      </c>
      <c r="G116" s="484">
        <f>G117</f>
        <v>33729970.54</v>
      </c>
    </row>
    <row r="117" spans="1:7" ht="80.25" customHeight="1">
      <c r="A117" s="198" t="s">
        <v>452</v>
      </c>
      <c r="B117" s="182" t="s">
        <v>507</v>
      </c>
      <c r="C117" s="182" t="s">
        <v>100</v>
      </c>
      <c r="D117" s="183" t="s">
        <v>29</v>
      </c>
      <c r="E117" s="196" t="s">
        <v>85</v>
      </c>
      <c r="F117" s="484">
        <f>F118+F128</f>
        <v>2927430</v>
      </c>
      <c r="G117" s="484">
        <f>G118+G128</f>
        <v>33729970.54</v>
      </c>
    </row>
    <row r="118" spans="1:7" ht="104.25" customHeight="1">
      <c r="A118" s="12" t="s">
        <v>45</v>
      </c>
      <c r="B118" s="182" t="s">
        <v>507</v>
      </c>
      <c r="C118" s="182" t="s">
        <v>100</v>
      </c>
      <c r="D118" s="186" t="s">
        <v>217</v>
      </c>
      <c r="E118" s="197" t="s">
        <v>85</v>
      </c>
      <c r="F118" s="484">
        <f>F119+F122+F125</f>
        <v>2727158</v>
      </c>
      <c r="G118" s="484">
        <f>G119+G122+G125</f>
        <v>33729970.54</v>
      </c>
    </row>
    <row r="119" spans="1:7" ht="38.25">
      <c r="A119" s="29" t="s">
        <v>216</v>
      </c>
      <c r="B119" s="182" t="s">
        <v>507</v>
      </c>
      <c r="C119" s="182" t="s">
        <v>100</v>
      </c>
      <c r="D119" s="183" t="s">
        <v>215</v>
      </c>
      <c r="E119" s="197"/>
      <c r="F119" s="484">
        <f>F120</f>
        <v>299728</v>
      </c>
      <c r="G119" s="484">
        <f>G120</f>
        <v>0</v>
      </c>
    </row>
    <row r="120" spans="1:7" ht="40.5" customHeight="1">
      <c r="A120" s="33" t="s">
        <v>31</v>
      </c>
      <c r="B120" s="182" t="s">
        <v>507</v>
      </c>
      <c r="C120" s="182" t="s">
        <v>100</v>
      </c>
      <c r="D120" s="183" t="s">
        <v>214</v>
      </c>
      <c r="E120" s="197"/>
      <c r="F120" s="484">
        <f>F121</f>
        <v>299728</v>
      </c>
      <c r="G120" s="484">
        <f>G121</f>
        <v>0</v>
      </c>
    </row>
    <row r="121" spans="1:7" ht="12.75">
      <c r="A121" s="13" t="s">
        <v>75</v>
      </c>
      <c r="B121" s="182" t="s">
        <v>507</v>
      </c>
      <c r="C121" s="182" t="s">
        <v>100</v>
      </c>
      <c r="D121" s="183" t="s">
        <v>214</v>
      </c>
      <c r="E121" s="185">
        <v>800</v>
      </c>
      <c r="F121" s="485">
        <f>500000-200272</f>
        <v>299728</v>
      </c>
      <c r="G121" s="485"/>
    </row>
    <row r="122" spans="1:7" ht="41.25" customHeight="1">
      <c r="A122" s="29" t="s">
        <v>213</v>
      </c>
      <c r="B122" s="182" t="s">
        <v>507</v>
      </c>
      <c r="C122" s="182" t="s">
        <v>100</v>
      </c>
      <c r="D122" s="183" t="s">
        <v>234</v>
      </c>
      <c r="E122" s="197"/>
      <c r="F122" s="484">
        <f>F123</f>
        <v>2427430</v>
      </c>
      <c r="G122" s="484">
        <f>G123</f>
        <v>33729970.54</v>
      </c>
    </row>
    <row r="123" spans="1:7" ht="49.5" customHeight="1">
      <c r="A123" s="49" t="s">
        <v>595</v>
      </c>
      <c r="B123" s="182" t="s">
        <v>507</v>
      </c>
      <c r="C123" s="182" t="s">
        <v>100</v>
      </c>
      <c r="D123" s="47" t="s">
        <v>594</v>
      </c>
      <c r="E123" s="182" t="s">
        <v>85</v>
      </c>
      <c r="F123" s="484">
        <f>F124</f>
        <v>2427430</v>
      </c>
      <c r="G123" s="484">
        <f>G124</f>
        <v>33729970.54</v>
      </c>
    </row>
    <row r="124" spans="1:7" ht="38.25">
      <c r="A124" s="13" t="s">
        <v>212</v>
      </c>
      <c r="B124" s="182" t="s">
        <v>507</v>
      </c>
      <c r="C124" s="182" t="s">
        <v>100</v>
      </c>
      <c r="D124" s="47" t="s">
        <v>594</v>
      </c>
      <c r="E124" s="182">
        <v>200</v>
      </c>
      <c r="F124" s="485">
        <v>2427430</v>
      </c>
      <c r="G124" s="485">
        <f>2499680+299728+200272+23655198.16+7075092.38</f>
        <v>33729970.54</v>
      </c>
    </row>
    <row r="125" spans="1:7" ht="51" hidden="1">
      <c r="A125" s="13" t="s">
        <v>63</v>
      </c>
      <c r="B125" s="182" t="s">
        <v>507</v>
      </c>
      <c r="C125" s="182" t="s">
        <v>100</v>
      </c>
      <c r="D125" s="183" t="s">
        <v>64</v>
      </c>
      <c r="E125" s="182"/>
      <c r="F125" s="484">
        <f>F126</f>
        <v>0</v>
      </c>
      <c r="G125" s="484">
        <f>G126</f>
        <v>0</v>
      </c>
    </row>
    <row r="126" spans="1:7" ht="36" hidden="1">
      <c r="A126" s="30" t="s">
        <v>707</v>
      </c>
      <c r="B126" s="182" t="s">
        <v>507</v>
      </c>
      <c r="C126" s="182" t="s">
        <v>100</v>
      </c>
      <c r="D126" s="183" t="s">
        <v>708</v>
      </c>
      <c r="E126" s="182"/>
      <c r="F126" s="484">
        <f>F127</f>
        <v>0</v>
      </c>
      <c r="G126" s="484">
        <f>G127</f>
        <v>0</v>
      </c>
    </row>
    <row r="127" spans="1:7" ht="38.25" hidden="1">
      <c r="A127" s="13" t="s">
        <v>205</v>
      </c>
      <c r="B127" s="182" t="s">
        <v>507</v>
      </c>
      <c r="C127" s="182" t="s">
        <v>100</v>
      </c>
      <c r="D127" s="183" t="s">
        <v>708</v>
      </c>
      <c r="E127" s="182">
        <v>400</v>
      </c>
      <c r="F127" s="485"/>
      <c r="G127" s="485"/>
    </row>
    <row r="128" spans="1:7" ht="102" customHeight="1">
      <c r="A128" s="12" t="s">
        <v>244</v>
      </c>
      <c r="B128" s="182" t="s">
        <v>507</v>
      </c>
      <c r="C128" s="182" t="s">
        <v>100</v>
      </c>
      <c r="D128" s="186" t="s">
        <v>30</v>
      </c>
      <c r="E128" s="182"/>
      <c r="F128" s="484">
        <f aca="true" t="shared" si="12" ref="F128:G130">F129</f>
        <v>200272</v>
      </c>
      <c r="G128" s="484">
        <f t="shared" si="12"/>
        <v>0</v>
      </c>
    </row>
    <row r="129" spans="1:7" ht="79.5" customHeight="1">
      <c r="A129" s="29" t="s">
        <v>97</v>
      </c>
      <c r="B129" s="182" t="s">
        <v>507</v>
      </c>
      <c r="C129" s="182" t="s">
        <v>100</v>
      </c>
      <c r="D129" s="183" t="s">
        <v>423</v>
      </c>
      <c r="E129" s="182"/>
      <c r="F129" s="484">
        <f t="shared" si="12"/>
        <v>200272</v>
      </c>
      <c r="G129" s="484">
        <f t="shared" si="12"/>
        <v>0</v>
      </c>
    </row>
    <row r="130" spans="1:7" ht="51">
      <c r="A130" s="33" t="s">
        <v>596</v>
      </c>
      <c r="B130" s="182" t="s">
        <v>507</v>
      </c>
      <c r="C130" s="182" t="s">
        <v>100</v>
      </c>
      <c r="D130" s="183" t="s">
        <v>331</v>
      </c>
      <c r="E130" s="182"/>
      <c r="F130" s="484">
        <f t="shared" si="12"/>
        <v>200272</v>
      </c>
      <c r="G130" s="484">
        <f t="shared" si="12"/>
        <v>0</v>
      </c>
    </row>
    <row r="131" spans="1:7" ht="12.75">
      <c r="A131" s="13" t="s">
        <v>75</v>
      </c>
      <c r="B131" s="182" t="s">
        <v>507</v>
      </c>
      <c r="C131" s="182" t="s">
        <v>100</v>
      </c>
      <c r="D131" s="183" t="s">
        <v>331</v>
      </c>
      <c r="E131" s="182">
        <v>800</v>
      </c>
      <c r="F131" s="485">
        <v>200272</v>
      </c>
      <c r="G131" s="485"/>
    </row>
    <row r="132" spans="1:7" ht="25.5">
      <c r="A132" s="12" t="s">
        <v>524</v>
      </c>
      <c r="B132" s="200" t="s">
        <v>507</v>
      </c>
      <c r="C132" s="200">
        <v>12</v>
      </c>
      <c r="D132" s="186"/>
      <c r="E132" s="200"/>
      <c r="F132" s="484">
        <f>F133+F137</f>
        <v>1090523</v>
      </c>
      <c r="G132" s="484">
        <f>G133+G137</f>
        <v>206512</v>
      </c>
    </row>
    <row r="133" spans="1:7" ht="51">
      <c r="A133" s="198" t="s">
        <v>46</v>
      </c>
      <c r="B133" s="182" t="s">
        <v>507</v>
      </c>
      <c r="C133" s="182">
        <v>12</v>
      </c>
      <c r="D133" s="183" t="s">
        <v>597</v>
      </c>
      <c r="E133" s="182"/>
      <c r="F133" s="484">
        <f aca="true" t="shared" si="13" ref="F133:G135">F134</f>
        <v>55000</v>
      </c>
      <c r="G133" s="484">
        <f t="shared" si="13"/>
        <v>18774</v>
      </c>
    </row>
    <row r="134" spans="1:7" ht="36">
      <c r="A134" s="30" t="s">
        <v>600</v>
      </c>
      <c r="B134" s="182" t="s">
        <v>507</v>
      </c>
      <c r="C134" s="182">
        <v>12</v>
      </c>
      <c r="D134" s="183" t="s">
        <v>599</v>
      </c>
      <c r="E134" s="182"/>
      <c r="F134" s="484">
        <f t="shared" si="13"/>
        <v>55000</v>
      </c>
      <c r="G134" s="484">
        <f t="shared" si="13"/>
        <v>18774</v>
      </c>
    </row>
    <row r="135" spans="1:7" ht="42.75" customHeight="1">
      <c r="A135" s="30" t="s">
        <v>598</v>
      </c>
      <c r="B135" s="182" t="s">
        <v>507</v>
      </c>
      <c r="C135" s="182">
        <v>12</v>
      </c>
      <c r="D135" s="183" t="s">
        <v>96</v>
      </c>
      <c r="E135" s="182"/>
      <c r="F135" s="484">
        <f t="shared" si="13"/>
        <v>55000</v>
      </c>
      <c r="G135" s="484">
        <f t="shared" si="13"/>
        <v>18774</v>
      </c>
    </row>
    <row r="136" spans="1:7" ht="12.75">
      <c r="A136" s="180" t="s">
        <v>75</v>
      </c>
      <c r="B136" s="178" t="s">
        <v>507</v>
      </c>
      <c r="C136" s="178">
        <v>12</v>
      </c>
      <c r="D136" s="179" t="s">
        <v>96</v>
      </c>
      <c r="E136" s="178">
        <v>200</v>
      </c>
      <c r="F136" s="489">
        <f>20000+35000</f>
        <v>55000</v>
      </c>
      <c r="G136" s="489">
        <v>18774</v>
      </c>
    </row>
    <row r="137" spans="1:7" ht="25.5">
      <c r="A137" s="74" t="s">
        <v>593</v>
      </c>
      <c r="B137" s="71" t="s">
        <v>507</v>
      </c>
      <c r="C137" s="71">
        <v>12</v>
      </c>
      <c r="D137" s="100" t="s">
        <v>14</v>
      </c>
      <c r="E137" s="71"/>
      <c r="F137" s="490">
        <f>F139+F141+F143</f>
        <v>1035523</v>
      </c>
      <c r="G137" s="490">
        <f>G139+G141+G143</f>
        <v>187738</v>
      </c>
    </row>
    <row r="138" spans="1:7" ht="24">
      <c r="A138" s="30" t="s">
        <v>603</v>
      </c>
      <c r="B138" s="182" t="s">
        <v>507</v>
      </c>
      <c r="C138" s="182">
        <v>12</v>
      </c>
      <c r="D138" s="183" t="s">
        <v>16</v>
      </c>
      <c r="E138" s="182"/>
      <c r="F138" s="484">
        <f>F139</f>
        <v>65000</v>
      </c>
      <c r="G138" s="484">
        <f>G139</f>
        <v>187738</v>
      </c>
    </row>
    <row r="139" spans="1:7" ht="36">
      <c r="A139" s="30" t="s">
        <v>94</v>
      </c>
      <c r="B139" s="182" t="s">
        <v>507</v>
      </c>
      <c r="C139" s="182">
        <v>12</v>
      </c>
      <c r="D139" s="183" t="s">
        <v>95</v>
      </c>
      <c r="E139" s="182"/>
      <c r="F139" s="484">
        <f>F140</f>
        <v>65000</v>
      </c>
      <c r="G139" s="484">
        <f>G140</f>
        <v>187738</v>
      </c>
    </row>
    <row r="140" spans="1:7" ht="36">
      <c r="A140" s="30" t="s">
        <v>212</v>
      </c>
      <c r="B140" s="182" t="s">
        <v>507</v>
      </c>
      <c r="C140" s="182">
        <v>12</v>
      </c>
      <c r="D140" s="183" t="s">
        <v>95</v>
      </c>
      <c r="E140" s="182">
        <v>200</v>
      </c>
      <c r="F140" s="484">
        <f>200000-100000-35000</f>
        <v>65000</v>
      </c>
      <c r="G140" s="484">
        <v>187738</v>
      </c>
    </row>
    <row r="141" spans="1:7" ht="36.75" customHeight="1">
      <c r="A141" s="383" t="s">
        <v>858</v>
      </c>
      <c r="B141" s="127" t="s">
        <v>507</v>
      </c>
      <c r="C141" s="127">
        <v>12</v>
      </c>
      <c r="D141" s="183" t="s">
        <v>859</v>
      </c>
      <c r="E141" s="182"/>
      <c r="F141" s="484">
        <f>F142</f>
        <v>291157</v>
      </c>
      <c r="G141" s="484">
        <f>G142</f>
        <v>0</v>
      </c>
    </row>
    <row r="142" spans="1:7" ht="36">
      <c r="A142" s="323" t="s">
        <v>212</v>
      </c>
      <c r="B142" s="127" t="s">
        <v>507</v>
      </c>
      <c r="C142" s="127">
        <v>12</v>
      </c>
      <c r="D142" s="183" t="s">
        <v>859</v>
      </c>
      <c r="E142" s="182">
        <v>200</v>
      </c>
      <c r="F142" s="484">
        <v>291157</v>
      </c>
      <c r="G142" s="484"/>
    </row>
    <row r="143" spans="1:7" ht="40.5" customHeight="1">
      <c r="A143" s="383" t="s">
        <v>858</v>
      </c>
      <c r="B143" s="127" t="s">
        <v>507</v>
      </c>
      <c r="C143" s="127">
        <v>12</v>
      </c>
      <c r="D143" s="183" t="s">
        <v>860</v>
      </c>
      <c r="E143" s="182"/>
      <c r="F143" s="484">
        <f>F144</f>
        <v>679366</v>
      </c>
      <c r="G143" s="484">
        <f>G144</f>
        <v>0</v>
      </c>
    </row>
    <row r="144" spans="1:7" ht="36">
      <c r="A144" s="323" t="s">
        <v>212</v>
      </c>
      <c r="B144" s="127" t="s">
        <v>507</v>
      </c>
      <c r="C144" s="127">
        <v>12</v>
      </c>
      <c r="D144" s="353" t="s">
        <v>860</v>
      </c>
      <c r="E144" s="119">
        <v>200</v>
      </c>
      <c r="F144" s="485">
        <v>679366</v>
      </c>
      <c r="G144" s="490"/>
    </row>
    <row r="145" spans="1:7" ht="12.75">
      <c r="A145" s="161" t="s">
        <v>512</v>
      </c>
      <c r="B145" s="159" t="s">
        <v>620</v>
      </c>
      <c r="C145" s="203" t="s">
        <v>436</v>
      </c>
      <c r="D145" s="159" t="s">
        <v>85</v>
      </c>
      <c r="E145" s="159" t="s">
        <v>85</v>
      </c>
      <c r="F145" s="483">
        <f>F146+F160</f>
        <v>11778119.2</v>
      </c>
      <c r="G145" s="483">
        <f>G146+G160</f>
        <v>10074167.84</v>
      </c>
    </row>
    <row r="146" spans="1:7" ht="12.75">
      <c r="A146" s="201" t="s">
        <v>219</v>
      </c>
      <c r="B146" s="200" t="s">
        <v>620</v>
      </c>
      <c r="C146" s="220" t="s">
        <v>504</v>
      </c>
      <c r="D146" s="219"/>
      <c r="E146" s="219"/>
      <c r="F146" s="484">
        <f>F147</f>
        <v>684000</v>
      </c>
      <c r="G146" s="484">
        <f>G147</f>
        <v>288308</v>
      </c>
    </row>
    <row r="147" spans="1:7" ht="63.75">
      <c r="A147" s="198" t="s">
        <v>453</v>
      </c>
      <c r="B147" s="182" t="s">
        <v>620</v>
      </c>
      <c r="C147" s="210" t="s">
        <v>504</v>
      </c>
      <c r="D147" s="183" t="s">
        <v>32</v>
      </c>
      <c r="E147" s="219"/>
      <c r="F147" s="484">
        <f>F148+F156</f>
        <v>684000</v>
      </c>
      <c r="G147" s="484">
        <f>G148+G156</f>
        <v>288308</v>
      </c>
    </row>
    <row r="148" spans="1:7" ht="114.75" hidden="1">
      <c r="A148" s="12" t="s">
        <v>199</v>
      </c>
      <c r="B148" s="182" t="s">
        <v>620</v>
      </c>
      <c r="C148" s="210" t="s">
        <v>504</v>
      </c>
      <c r="D148" s="183" t="s">
        <v>200</v>
      </c>
      <c r="E148" s="219"/>
      <c r="F148" s="484">
        <f>F149</f>
        <v>0</v>
      </c>
      <c r="G148" s="484">
        <f>G149</f>
        <v>0</v>
      </c>
    </row>
    <row r="149" spans="1:7" ht="38.25" hidden="1">
      <c r="A149" s="297" t="s">
        <v>712</v>
      </c>
      <c r="B149" s="182" t="s">
        <v>620</v>
      </c>
      <c r="C149" s="210" t="s">
        <v>504</v>
      </c>
      <c r="D149" s="183" t="s">
        <v>62</v>
      </c>
      <c r="E149" s="219"/>
      <c r="F149" s="484">
        <f>F150+F152+F154</f>
        <v>0</v>
      </c>
      <c r="G149" s="484">
        <f>G154</f>
        <v>0</v>
      </c>
    </row>
    <row r="150" spans="1:7" ht="51" hidden="1">
      <c r="A150" s="297" t="s">
        <v>90</v>
      </c>
      <c r="B150" s="182" t="s">
        <v>620</v>
      </c>
      <c r="C150" s="210" t="s">
        <v>504</v>
      </c>
      <c r="D150" s="183" t="s">
        <v>668</v>
      </c>
      <c r="E150" s="219"/>
      <c r="F150" s="484">
        <f>F151</f>
        <v>0</v>
      </c>
      <c r="G150" s="484"/>
    </row>
    <row r="151" spans="1:7" ht="38.25" hidden="1">
      <c r="A151" s="13" t="s">
        <v>205</v>
      </c>
      <c r="B151" s="182" t="s">
        <v>620</v>
      </c>
      <c r="C151" s="210" t="s">
        <v>504</v>
      </c>
      <c r="D151" s="183" t="s">
        <v>668</v>
      </c>
      <c r="E151" s="182">
        <v>400</v>
      </c>
      <c r="F151" s="484"/>
      <c r="G151" s="484"/>
    </row>
    <row r="152" spans="1:7" ht="38.25" hidden="1">
      <c r="A152" s="297" t="s">
        <v>91</v>
      </c>
      <c r="B152" s="182" t="s">
        <v>620</v>
      </c>
      <c r="C152" s="210" t="s">
        <v>504</v>
      </c>
      <c r="D152" s="183" t="s">
        <v>669</v>
      </c>
      <c r="E152" s="219"/>
      <c r="F152" s="484">
        <f>F153</f>
        <v>0</v>
      </c>
      <c r="G152" s="484"/>
    </row>
    <row r="153" spans="1:7" ht="38.25" hidden="1">
      <c r="A153" s="13" t="s">
        <v>205</v>
      </c>
      <c r="B153" s="182" t="s">
        <v>620</v>
      </c>
      <c r="C153" s="210" t="s">
        <v>504</v>
      </c>
      <c r="D153" s="183" t="s">
        <v>669</v>
      </c>
      <c r="E153" s="182">
        <v>400</v>
      </c>
      <c r="F153" s="484"/>
      <c r="G153" s="484"/>
    </row>
    <row r="154" spans="1:7" ht="115.5" customHeight="1" hidden="1">
      <c r="A154" s="298" t="s">
        <v>65</v>
      </c>
      <c r="B154" s="182" t="s">
        <v>620</v>
      </c>
      <c r="C154" s="210" t="s">
        <v>504</v>
      </c>
      <c r="D154" s="183" t="s">
        <v>276</v>
      </c>
      <c r="E154" s="219"/>
      <c r="F154" s="484">
        <f>F155</f>
        <v>0</v>
      </c>
      <c r="G154" s="484">
        <f>G155</f>
        <v>0</v>
      </c>
    </row>
    <row r="155" spans="1:7" ht="38.25" hidden="1">
      <c r="A155" s="13" t="s">
        <v>205</v>
      </c>
      <c r="B155" s="182" t="s">
        <v>620</v>
      </c>
      <c r="C155" s="210" t="s">
        <v>504</v>
      </c>
      <c r="D155" s="183" t="s">
        <v>276</v>
      </c>
      <c r="E155" s="182">
        <v>400</v>
      </c>
      <c r="F155" s="485"/>
      <c r="G155" s="485"/>
    </row>
    <row r="156" spans="1:7" ht="102">
      <c r="A156" s="12" t="s">
        <v>454</v>
      </c>
      <c r="B156" s="182" t="s">
        <v>620</v>
      </c>
      <c r="C156" s="210" t="s">
        <v>504</v>
      </c>
      <c r="D156" s="186" t="s">
        <v>529</v>
      </c>
      <c r="E156" s="219"/>
      <c r="F156" s="484">
        <f>F157</f>
        <v>684000</v>
      </c>
      <c r="G156" s="484">
        <f>G157</f>
        <v>288308</v>
      </c>
    </row>
    <row r="157" spans="1:7" ht="38.25">
      <c r="A157" s="28" t="s">
        <v>218</v>
      </c>
      <c r="B157" s="182" t="s">
        <v>620</v>
      </c>
      <c r="C157" s="210" t="s">
        <v>504</v>
      </c>
      <c r="D157" s="183" t="s">
        <v>251</v>
      </c>
      <c r="E157" s="219"/>
      <c r="F157" s="484">
        <f>F158</f>
        <v>684000</v>
      </c>
      <c r="G157" s="484">
        <f>G158</f>
        <v>288308</v>
      </c>
    </row>
    <row r="158" spans="1:7" ht="24">
      <c r="A158" s="30" t="s">
        <v>250</v>
      </c>
      <c r="B158" s="182" t="s">
        <v>620</v>
      </c>
      <c r="C158" s="210" t="s">
        <v>504</v>
      </c>
      <c r="D158" s="183" t="s">
        <v>249</v>
      </c>
      <c r="E158" s="219"/>
      <c r="F158" s="484">
        <f>SUM(F159:F159)</f>
        <v>684000</v>
      </c>
      <c r="G158" s="484">
        <f>SUM(G159:G159)</f>
        <v>288308</v>
      </c>
    </row>
    <row r="159" spans="1:7" ht="38.25">
      <c r="A159" s="13" t="s">
        <v>212</v>
      </c>
      <c r="B159" s="182" t="s">
        <v>620</v>
      </c>
      <c r="C159" s="210" t="s">
        <v>504</v>
      </c>
      <c r="D159" s="183" t="s">
        <v>249</v>
      </c>
      <c r="E159" s="182">
        <v>200</v>
      </c>
      <c r="F159" s="485">
        <v>684000</v>
      </c>
      <c r="G159" s="485">
        <f>642063-353755</f>
        <v>288308</v>
      </c>
    </row>
    <row r="160" spans="1:7" ht="12.75">
      <c r="A160" s="201" t="s">
        <v>533</v>
      </c>
      <c r="B160" s="200" t="s">
        <v>620</v>
      </c>
      <c r="C160" s="200" t="s">
        <v>99</v>
      </c>
      <c r="D160" s="200" t="s">
        <v>85</v>
      </c>
      <c r="E160" s="200" t="s">
        <v>85</v>
      </c>
      <c r="F160" s="484">
        <f>F161+F167</f>
        <v>11094119.2</v>
      </c>
      <c r="G160" s="484">
        <f>G161+G167</f>
        <v>9785859.84</v>
      </c>
    </row>
    <row r="161" spans="1:7" ht="63.75">
      <c r="A161" s="198" t="s">
        <v>453</v>
      </c>
      <c r="B161" s="182" t="s">
        <v>620</v>
      </c>
      <c r="C161" s="182" t="s">
        <v>99</v>
      </c>
      <c r="D161" s="183" t="s">
        <v>32</v>
      </c>
      <c r="E161" s="182" t="s">
        <v>85</v>
      </c>
      <c r="F161" s="484">
        <f aca="true" t="shared" si="14" ref="F161:G163">F162</f>
        <v>5565232.2</v>
      </c>
      <c r="G161" s="484">
        <f t="shared" si="14"/>
        <v>3701671.84</v>
      </c>
    </row>
    <row r="162" spans="1:7" ht="102">
      <c r="A162" s="12" t="s">
        <v>454</v>
      </c>
      <c r="B162" s="182" t="s">
        <v>620</v>
      </c>
      <c r="C162" s="182" t="s">
        <v>99</v>
      </c>
      <c r="D162" s="186" t="s">
        <v>529</v>
      </c>
      <c r="E162" s="185" t="s">
        <v>85</v>
      </c>
      <c r="F162" s="484">
        <f t="shared" si="14"/>
        <v>5565232.2</v>
      </c>
      <c r="G162" s="484">
        <f t="shared" si="14"/>
        <v>3701671.84</v>
      </c>
    </row>
    <row r="163" spans="1:7" ht="38.25">
      <c r="A163" s="28" t="s">
        <v>337</v>
      </c>
      <c r="B163" s="182" t="s">
        <v>620</v>
      </c>
      <c r="C163" s="182" t="s">
        <v>99</v>
      </c>
      <c r="D163" s="183" t="s">
        <v>428</v>
      </c>
      <c r="E163" s="185"/>
      <c r="F163" s="484">
        <f t="shared" si="14"/>
        <v>5565232.2</v>
      </c>
      <c r="G163" s="484">
        <f t="shared" si="14"/>
        <v>3701671.84</v>
      </c>
    </row>
    <row r="164" spans="1:7" ht="12.75">
      <c r="A164" s="33" t="s">
        <v>695</v>
      </c>
      <c r="B164" s="182" t="s">
        <v>620</v>
      </c>
      <c r="C164" s="182" t="s">
        <v>99</v>
      </c>
      <c r="D164" s="183" t="s">
        <v>429</v>
      </c>
      <c r="E164" s="182" t="s">
        <v>85</v>
      </c>
      <c r="F164" s="484">
        <f>SUM(F165:F166)</f>
        <v>5565232.2</v>
      </c>
      <c r="G164" s="484">
        <f>SUM(G165:G166)</f>
        <v>3701671.84</v>
      </c>
    </row>
    <row r="165" spans="1:7" ht="38.25">
      <c r="A165" s="13" t="s">
        <v>212</v>
      </c>
      <c r="B165" s="182" t="s">
        <v>620</v>
      </c>
      <c r="C165" s="182" t="s">
        <v>99</v>
      </c>
      <c r="D165" s="183" t="s">
        <v>429</v>
      </c>
      <c r="E165" s="182">
        <v>200</v>
      </c>
      <c r="F165" s="485">
        <v>2467763</v>
      </c>
      <c r="G165" s="485">
        <v>2316462</v>
      </c>
    </row>
    <row r="166" spans="1:7" ht="12.75">
      <c r="A166" s="13" t="s">
        <v>75</v>
      </c>
      <c r="B166" s="182" t="s">
        <v>620</v>
      </c>
      <c r="C166" s="182" t="s">
        <v>99</v>
      </c>
      <c r="D166" s="183" t="s">
        <v>429</v>
      </c>
      <c r="E166" s="182">
        <v>800</v>
      </c>
      <c r="F166" s="485">
        <f>4632046-1534576.8</f>
        <v>3097469.2</v>
      </c>
      <c r="G166" s="485">
        <v>1385209.84</v>
      </c>
    </row>
    <row r="167" spans="1:7" ht="63.75">
      <c r="A167" s="198" t="s">
        <v>449</v>
      </c>
      <c r="B167" s="182" t="s">
        <v>620</v>
      </c>
      <c r="C167" s="182" t="s">
        <v>99</v>
      </c>
      <c r="D167" s="183" t="s">
        <v>605</v>
      </c>
      <c r="E167" s="182"/>
      <c r="F167" s="484">
        <f aca="true" t="shared" si="15" ref="F167:G169">F168</f>
        <v>5528887</v>
      </c>
      <c r="G167" s="484">
        <f t="shared" si="15"/>
        <v>6084188</v>
      </c>
    </row>
    <row r="168" spans="1:7" ht="27.75" customHeight="1">
      <c r="A168" s="28" t="s">
        <v>672</v>
      </c>
      <c r="B168" s="182" t="s">
        <v>620</v>
      </c>
      <c r="C168" s="182" t="s">
        <v>99</v>
      </c>
      <c r="D168" s="183" t="s">
        <v>320</v>
      </c>
      <c r="E168" s="182"/>
      <c r="F168" s="484">
        <f t="shared" si="15"/>
        <v>5528887</v>
      </c>
      <c r="G168" s="484">
        <f t="shared" si="15"/>
        <v>6084188</v>
      </c>
    </row>
    <row r="169" spans="1:7" ht="25.5">
      <c r="A169" s="299" t="s">
        <v>322</v>
      </c>
      <c r="B169" s="182" t="s">
        <v>620</v>
      </c>
      <c r="C169" s="182" t="s">
        <v>99</v>
      </c>
      <c r="D169" s="183" t="s">
        <v>321</v>
      </c>
      <c r="E169" s="182"/>
      <c r="F169" s="484">
        <f t="shared" si="15"/>
        <v>5528887</v>
      </c>
      <c r="G169" s="484">
        <f t="shared" si="15"/>
        <v>6084188</v>
      </c>
    </row>
    <row r="170" spans="1:7" ht="38.25">
      <c r="A170" s="180" t="s">
        <v>212</v>
      </c>
      <c r="B170" s="178" t="s">
        <v>620</v>
      </c>
      <c r="C170" s="178" t="s">
        <v>99</v>
      </c>
      <c r="D170" s="179" t="s">
        <v>321</v>
      </c>
      <c r="E170" s="178">
        <v>200</v>
      </c>
      <c r="F170" s="489">
        <f>500000+5028887</f>
        <v>5528887</v>
      </c>
      <c r="G170" s="489">
        <f>500000+5584188</f>
        <v>6084188</v>
      </c>
    </row>
    <row r="171" spans="1:7" ht="12.75">
      <c r="A171" s="161" t="s">
        <v>534</v>
      </c>
      <c r="B171" s="159" t="s">
        <v>621</v>
      </c>
      <c r="C171" s="203" t="s">
        <v>436</v>
      </c>
      <c r="D171" s="159" t="s">
        <v>85</v>
      </c>
      <c r="E171" s="159" t="s">
        <v>85</v>
      </c>
      <c r="F171" s="483">
        <f>F172+F183+F219+F225+F238</f>
        <v>310455132</v>
      </c>
      <c r="G171" s="483">
        <f>G172+G183+G219+G225+G238</f>
        <v>242254600</v>
      </c>
    </row>
    <row r="172" spans="1:7" ht="12.75">
      <c r="A172" s="201" t="s">
        <v>535</v>
      </c>
      <c r="B172" s="200" t="s">
        <v>621</v>
      </c>
      <c r="C172" s="200" t="s">
        <v>504</v>
      </c>
      <c r="D172" s="200" t="s">
        <v>85</v>
      </c>
      <c r="E172" s="200" t="s">
        <v>85</v>
      </c>
      <c r="F172" s="484">
        <f aca="true" t="shared" si="16" ref="F172:G174">F173</f>
        <v>92601566</v>
      </c>
      <c r="G172" s="484">
        <f t="shared" si="16"/>
        <v>90778726</v>
      </c>
    </row>
    <row r="173" spans="1:7" ht="37.5" customHeight="1">
      <c r="A173" s="198" t="s">
        <v>261</v>
      </c>
      <c r="B173" s="182" t="s">
        <v>621</v>
      </c>
      <c r="C173" s="182" t="s">
        <v>504</v>
      </c>
      <c r="D173" s="183" t="s">
        <v>530</v>
      </c>
      <c r="E173" s="182" t="s">
        <v>85</v>
      </c>
      <c r="F173" s="484">
        <f t="shared" si="16"/>
        <v>92601566</v>
      </c>
      <c r="G173" s="484">
        <f t="shared" si="16"/>
        <v>90778726</v>
      </c>
    </row>
    <row r="174" spans="1:7" ht="54.75" customHeight="1">
      <c r="A174" s="12" t="s">
        <v>262</v>
      </c>
      <c r="B174" s="182" t="s">
        <v>621</v>
      </c>
      <c r="C174" s="182" t="s">
        <v>504</v>
      </c>
      <c r="D174" s="186" t="s">
        <v>531</v>
      </c>
      <c r="E174" s="185" t="s">
        <v>85</v>
      </c>
      <c r="F174" s="484">
        <f t="shared" si="16"/>
        <v>92601566</v>
      </c>
      <c r="G174" s="484">
        <f t="shared" si="16"/>
        <v>90778726</v>
      </c>
    </row>
    <row r="175" spans="1:7" ht="25.5">
      <c r="A175" s="28" t="s">
        <v>430</v>
      </c>
      <c r="B175" s="182" t="s">
        <v>621</v>
      </c>
      <c r="C175" s="182" t="s">
        <v>504</v>
      </c>
      <c r="D175" s="183" t="s">
        <v>532</v>
      </c>
      <c r="E175" s="185"/>
      <c r="F175" s="484">
        <f>F176+F179</f>
        <v>92601566</v>
      </c>
      <c r="G175" s="484">
        <f>G176+G179</f>
        <v>90778726</v>
      </c>
    </row>
    <row r="176" spans="1:7" ht="118.5" customHeight="1">
      <c r="A176" s="13" t="s">
        <v>282</v>
      </c>
      <c r="B176" s="182" t="s">
        <v>621</v>
      </c>
      <c r="C176" s="182" t="s">
        <v>504</v>
      </c>
      <c r="D176" s="183" t="s">
        <v>283</v>
      </c>
      <c r="E176" s="182" t="s">
        <v>85</v>
      </c>
      <c r="F176" s="484">
        <f>SUM(F177:F178)</f>
        <v>55488082</v>
      </c>
      <c r="G176" s="484">
        <f>SUM(G177:G178)</f>
        <v>55488082</v>
      </c>
    </row>
    <row r="177" spans="1:7" ht="81" customHeight="1">
      <c r="A177" s="13" t="s">
        <v>698</v>
      </c>
      <c r="B177" s="182" t="s">
        <v>621</v>
      </c>
      <c r="C177" s="182" t="s">
        <v>504</v>
      </c>
      <c r="D177" s="183" t="s">
        <v>283</v>
      </c>
      <c r="E177" s="182" t="s">
        <v>565</v>
      </c>
      <c r="F177" s="485">
        <v>55063202</v>
      </c>
      <c r="G177" s="485">
        <v>55063202</v>
      </c>
    </row>
    <row r="178" spans="1:7" ht="38.25">
      <c r="A178" s="13" t="s">
        <v>212</v>
      </c>
      <c r="B178" s="182" t="s">
        <v>621</v>
      </c>
      <c r="C178" s="182" t="s">
        <v>504</v>
      </c>
      <c r="D178" s="183" t="s">
        <v>283</v>
      </c>
      <c r="E178" s="182" t="s">
        <v>72</v>
      </c>
      <c r="F178" s="485">
        <v>424880</v>
      </c>
      <c r="G178" s="485">
        <v>424880</v>
      </c>
    </row>
    <row r="179" spans="1:7" ht="38.25">
      <c r="A179" s="185" t="s">
        <v>468</v>
      </c>
      <c r="B179" s="182" t="s">
        <v>621</v>
      </c>
      <c r="C179" s="182" t="s">
        <v>504</v>
      </c>
      <c r="D179" s="183" t="s">
        <v>284</v>
      </c>
      <c r="E179" s="182"/>
      <c r="F179" s="484">
        <f>SUM(F180:F182)</f>
        <v>37113484</v>
      </c>
      <c r="G179" s="484">
        <f>SUM(G180:G182)</f>
        <v>35290644</v>
      </c>
    </row>
    <row r="180" spans="1:7" ht="78.75" customHeight="1">
      <c r="A180" s="13" t="s">
        <v>698</v>
      </c>
      <c r="B180" s="182" t="s">
        <v>621</v>
      </c>
      <c r="C180" s="182" t="s">
        <v>504</v>
      </c>
      <c r="D180" s="183" t="s">
        <v>284</v>
      </c>
      <c r="E180" s="182">
        <v>100</v>
      </c>
      <c r="F180" s="485">
        <v>18466929</v>
      </c>
      <c r="G180" s="485">
        <v>17334708</v>
      </c>
    </row>
    <row r="181" spans="1:7" ht="38.25">
      <c r="A181" s="13" t="s">
        <v>212</v>
      </c>
      <c r="B181" s="182" t="s">
        <v>621</v>
      </c>
      <c r="C181" s="182" t="s">
        <v>504</v>
      </c>
      <c r="D181" s="183" t="s">
        <v>284</v>
      </c>
      <c r="E181" s="182">
        <v>200</v>
      </c>
      <c r="F181" s="485">
        <f>180000+150000+5087878+200000+196000+60648+2195748+914146+7382304</f>
        <v>16366724</v>
      </c>
      <c r="G181" s="485">
        <v>15815883</v>
      </c>
    </row>
    <row r="182" spans="1:7" ht="12.75">
      <c r="A182" s="13" t="s">
        <v>75</v>
      </c>
      <c r="B182" s="182" t="s">
        <v>621</v>
      </c>
      <c r="C182" s="182" t="s">
        <v>504</v>
      </c>
      <c r="D182" s="183" t="s">
        <v>284</v>
      </c>
      <c r="E182" s="182">
        <v>800</v>
      </c>
      <c r="F182" s="485">
        <v>2279831</v>
      </c>
      <c r="G182" s="485">
        <v>2140053</v>
      </c>
    </row>
    <row r="183" spans="1:7" ht="12.75">
      <c r="A183" s="201" t="s">
        <v>536</v>
      </c>
      <c r="B183" s="200" t="s">
        <v>621</v>
      </c>
      <c r="C183" s="200" t="s">
        <v>506</v>
      </c>
      <c r="D183" s="200" t="s">
        <v>85</v>
      </c>
      <c r="E183" s="200" t="s">
        <v>85</v>
      </c>
      <c r="F183" s="484">
        <f>F184</f>
        <v>190125107</v>
      </c>
      <c r="G183" s="484">
        <f>G184</f>
        <v>124100230</v>
      </c>
    </row>
    <row r="184" spans="1:7" ht="39.75" customHeight="1">
      <c r="A184" s="198" t="s">
        <v>263</v>
      </c>
      <c r="B184" s="182" t="s">
        <v>621</v>
      </c>
      <c r="C184" s="182" t="s">
        <v>506</v>
      </c>
      <c r="D184" s="183" t="s">
        <v>530</v>
      </c>
      <c r="E184" s="182" t="s">
        <v>85</v>
      </c>
      <c r="F184" s="484">
        <f>F185</f>
        <v>190125107</v>
      </c>
      <c r="G184" s="484">
        <f>G185</f>
        <v>124100230</v>
      </c>
    </row>
    <row r="185" spans="1:7" ht="54" customHeight="1">
      <c r="A185" s="12" t="s">
        <v>262</v>
      </c>
      <c r="B185" s="182" t="s">
        <v>621</v>
      </c>
      <c r="C185" s="182" t="s">
        <v>506</v>
      </c>
      <c r="D185" s="183" t="s">
        <v>531</v>
      </c>
      <c r="E185" s="185" t="s">
        <v>85</v>
      </c>
      <c r="F185" s="484">
        <f>F186+F193+F211+F214+F204</f>
        <v>190125107</v>
      </c>
      <c r="G185" s="484">
        <f>G186+G193+G211+G214</f>
        <v>124100230</v>
      </c>
    </row>
    <row r="186" spans="1:7" ht="27.75" customHeight="1">
      <c r="A186" s="28" t="s">
        <v>432</v>
      </c>
      <c r="B186" s="182" t="s">
        <v>621</v>
      </c>
      <c r="C186" s="182" t="s">
        <v>506</v>
      </c>
      <c r="D186" s="183" t="s">
        <v>285</v>
      </c>
      <c r="E186" s="185"/>
      <c r="F186" s="484">
        <f>F187+F189+F191</f>
        <v>115240939</v>
      </c>
      <c r="G186" s="484">
        <f>G187+G189+G191</f>
        <v>114416531</v>
      </c>
    </row>
    <row r="187" spans="1:7" ht="141.75" customHeight="1">
      <c r="A187" s="13" t="s">
        <v>648</v>
      </c>
      <c r="B187" s="182" t="s">
        <v>621</v>
      </c>
      <c r="C187" s="182" t="s">
        <v>506</v>
      </c>
      <c r="D187" s="183" t="s">
        <v>286</v>
      </c>
      <c r="E187" s="182" t="s">
        <v>85</v>
      </c>
      <c r="F187" s="484">
        <f>F188</f>
        <v>96274514</v>
      </c>
      <c r="G187" s="484">
        <f>G188</f>
        <v>96274514</v>
      </c>
    </row>
    <row r="188" spans="1:7" ht="39" customHeight="1">
      <c r="A188" s="13" t="s">
        <v>88</v>
      </c>
      <c r="B188" s="182" t="s">
        <v>621</v>
      </c>
      <c r="C188" s="182" t="s">
        <v>506</v>
      </c>
      <c r="D188" s="183" t="s">
        <v>286</v>
      </c>
      <c r="E188" s="182">
        <v>600</v>
      </c>
      <c r="F188" s="485">
        <v>96274514</v>
      </c>
      <c r="G188" s="485">
        <v>96274514</v>
      </c>
    </row>
    <row r="189" spans="1:7" ht="41.25" customHeight="1">
      <c r="A189" s="185" t="s">
        <v>468</v>
      </c>
      <c r="B189" s="182" t="s">
        <v>621</v>
      </c>
      <c r="C189" s="182" t="s">
        <v>506</v>
      </c>
      <c r="D189" s="183" t="s">
        <v>287</v>
      </c>
      <c r="E189" s="182"/>
      <c r="F189" s="484">
        <f>F190</f>
        <v>12467788</v>
      </c>
      <c r="G189" s="484">
        <f>G190</f>
        <v>11703379</v>
      </c>
    </row>
    <row r="190" spans="1:7" ht="44.25" customHeight="1">
      <c r="A190" s="13" t="s">
        <v>88</v>
      </c>
      <c r="B190" s="182" t="s">
        <v>621</v>
      </c>
      <c r="C190" s="182" t="s">
        <v>506</v>
      </c>
      <c r="D190" s="183" t="s">
        <v>287</v>
      </c>
      <c r="E190" s="182">
        <v>600</v>
      </c>
      <c r="F190" s="485">
        <v>12467788</v>
      </c>
      <c r="G190" s="485">
        <v>11703379</v>
      </c>
    </row>
    <row r="191" spans="1:7" ht="56.25" customHeight="1">
      <c r="A191" s="13" t="s">
        <v>483</v>
      </c>
      <c r="B191" s="182" t="s">
        <v>621</v>
      </c>
      <c r="C191" s="182" t="s">
        <v>506</v>
      </c>
      <c r="D191" s="183" t="s">
        <v>906</v>
      </c>
      <c r="E191" s="182"/>
      <c r="F191" s="485">
        <f>F192</f>
        <v>6498637</v>
      </c>
      <c r="G191" s="485">
        <f>G192</f>
        <v>6438638</v>
      </c>
    </row>
    <row r="192" spans="1:7" ht="44.25" customHeight="1">
      <c r="A192" s="13" t="s">
        <v>88</v>
      </c>
      <c r="B192" s="182" t="s">
        <v>621</v>
      </c>
      <c r="C192" s="182" t="s">
        <v>506</v>
      </c>
      <c r="D192" s="183" t="s">
        <v>906</v>
      </c>
      <c r="E192" s="182">
        <v>600</v>
      </c>
      <c r="F192" s="485">
        <v>6498637</v>
      </c>
      <c r="G192" s="485">
        <v>6438638</v>
      </c>
    </row>
    <row r="193" spans="1:7" ht="25.5">
      <c r="A193" s="28" t="s">
        <v>433</v>
      </c>
      <c r="B193" s="182" t="s">
        <v>621</v>
      </c>
      <c r="C193" s="182" t="s">
        <v>506</v>
      </c>
      <c r="D193" s="183" t="s">
        <v>288</v>
      </c>
      <c r="E193" s="182"/>
      <c r="F193" s="485">
        <f>F194+F196+F198+F202+F200</f>
        <v>8968504</v>
      </c>
      <c r="G193" s="485">
        <f>G194+G196+G198+G202+G200</f>
        <v>9683699</v>
      </c>
    </row>
    <row r="194" spans="1:7" ht="66.75" customHeight="1">
      <c r="A194" s="28" t="s">
        <v>371</v>
      </c>
      <c r="B194" s="182" t="s">
        <v>621</v>
      </c>
      <c r="C194" s="182" t="s">
        <v>506</v>
      </c>
      <c r="D194" s="183" t="s">
        <v>372</v>
      </c>
      <c r="E194" s="182"/>
      <c r="F194" s="485">
        <f>+F195</f>
        <v>6138789</v>
      </c>
      <c r="G194" s="485">
        <f>+G195</f>
        <v>6324077</v>
      </c>
    </row>
    <row r="195" spans="1:7" ht="39" customHeight="1">
      <c r="A195" s="13" t="s">
        <v>88</v>
      </c>
      <c r="B195" s="182" t="s">
        <v>621</v>
      </c>
      <c r="C195" s="182" t="s">
        <v>506</v>
      </c>
      <c r="D195" s="183" t="s">
        <v>372</v>
      </c>
      <c r="E195" s="182">
        <v>600</v>
      </c>
      <c r="F195" s="485">
        <f>752478+5340746+45565</f>
        <v>6138789</v>
      </c>
      <c r="G195" s="485">
        <f>772632+5501947+49498</f>
        <v>6324077</v>
      </c>
    </row>
    <row r="196" spans="1:7" ht="89.25">
      <c r="A196" s="298" t="s">
        <v>709</v>
      </c>
      <c r="B196" s="182" t="s">
        <v>621</v>
      </c>
      <c r="C196" s="182" t="s">
        <v>506</v>
      </c>
      <c r="D196" s="183" t="s">
        <v>710</v>
      </c>
      <c r="E196" s="182"/>
      <c r="F196" s="484">
        <f>F197</f>
        <v>318065</v>
      </c>
      <c r="G196" s="484">
        <f>G197</f>
        <v>318065</v>
      </c>
    </row>
    <row r="197" spans="1:7" ht="42" customHeight="1">
      <c r="A197" s="13" t="s">
        <v>88</v>
      </c>
      <c r="B197" s="182" t="s">
        <v>621</v>
      </c>
      <c r="C197" s="182" t="s">
        <v>506</v>
      </c>
      <c r="D197" s="183" t="s">
        <v>710</v>
      </c>
      <c r="E197" s="182">
        <v>600</v>
      </c>
      <c r="F197" s="485">
        <v>318065</v>
      </c>
      <c r="G197" s="485">
        <v>318065</v>
      </c>
    </row>
    <row r="198" spans="1:7" ht="76.5">
      <c r="A198" s="49" t="s">
        <v>279</v>
      </c>
      <c r="B198" s="182" t="s">
        <v>621</v>
      </c>
      <c r="C198" s="182" t="s">
        <v>506</v>
      </c>
      <c r="D198" s="183" t="s">
        <v>289</v>
      </c>
      <c r="E198" s="182"/>
      <c r="F198" s="484">
        <f>F199</f>
        <v>2127215</v>
      </c>
      <c r="G198" s="484">
        <f>G199</f>
        <v>2127215</v>
      </c>
    </row>
    <row r="199" spans="1:7" ht="42.75" customHeight="1">
      <c r="A199" s="13" t="s">
        <v>88</v>
      </c>
      <c r="B199" s="182" t="s">
        <v>621</v>
      </c>
      <c r="C199" s="182" t="s">
        <v>506</v>
      </c>
      <c r="D199" s="183" t="s">
        <v>289</v>
      </c>
      <c r="E199" s="182">
        <v>600</v>
      </c>
      <c r="F199" s="485">
        <v>2127215</v>
      </c>
      <c r="G199" s="485">
        <v>2127215</v>
      </c>
    </row>
    <row r="200" spans="1:7" ht="41.25" customHeight="1">
      <c r="A200" s="129" t="s">
        <v>468</v>
      </c>
      <c r="B200" s="127" t="s">
        <v>621</v>
      </c>
      <c r="C200" s="127" t="s">
        <v>506</v>
      </c>
      <c r="D200" s="128" t="s">
        <v>370</v>
      </c>
      <c r="E200" s="127"/>
      <c r="F200" s="485">
        <f>F201</f>
        <v>384435</v>
      </c>
      <c r="G200" s="485">
        <f>G201</f>
        <v>914342</v>
      </c>
    </row>
    <row r="201" spans="1:7" ht="43.5" customHeight="1">
      <c r="A201" s="139" t="s">
        <v>88</v>
      </c>
      <c r="B201" s="127" t="s">
        <v>621</v>
      </c>
      <c r="C201" s="127" t="s">
        <v>506</v>
      </c>
      <c r="D201" s="128" t="s">
        <v>370</v>
      </c>
      <c r="E201" s="127">
        <v>600</v>
      </c>
      <c r="F201" s="485">
        <f>430000-45565</f>
        <v>384435</v>
      </c>
      <c r="G201" s="485">
        <f>963840-49498</f>
        <v>914342</v>
      </c>
    </row>
    <row r="202" spans="1:7" ht="12.75" hidden="1">
      <c r="A202" s="13"/>
      <c r="B202" s="182"/>
      <c r="C202" s="182"/>
      <c r="D202" s="183"/>
      <c r="E202" s="182"/>
      <c r="F202" s="485">
        <f>F203</f>
        <v>0</v>
      </c>
      <c r="G202" s="485">
        <f>G203</f>
        <v>0</v>
      </c>
    </row>
    <row r="203" spans="1:7" ht="12.75" hidden="1">
      <c r="A203" s="13"/>
      <c r="B203" s="182"/>
      <c r="C203" s="182"/>
      <c r="D203" s="183"/>
      <c r="E203" s="182"/>
      <c r="F203" s="485"/>
      <c r="G203" s="485"/>
    </row>
    <row r="204" spans="1:7" ht="113.25" customHeight="1">
      <c r="A204" s="28" t="s">
        <v>910</v>
      </c>
      <c r="B204" s="127" t="s">
        <v>621</v>
      </c>
      <c r="C204" s="127" t="s">
        <v>506</v>
      </c>
      <c r="D204" s="128" t="s">
        <v>912</v>
      </c>
      <c r="E204" s="127"/>
      <c r="F204" s="487">
        <f>F205+F209+F207</f>
        <v>65915664</v>
      </c>
      <c r="G204" s="487">
        <f>G205+G209+G207</f>
        <v>0</v>
      </c>
    </row>
    <row r="205" spans="1:7" ht="77.25" customHeight="1">
      <c r="A205" s="377" t="s">
        <v>980</v>
      </c>
      <c r="B205" s="127" t="s">
        <v>621</v>
      </c>
      <c r="C205" s="127" t="s">
        <v>506</v>
      </c>
      <c r="D205" s="128" t="s">
        <v>981</v>
      </c>
      <c r="E205" s="127"/>
      <c r="F205" s="487">
        <f>F206</f>
        <v>63766132</v>
      </c>
      <c r="G205" s="487">
        <f>G206</f>
        <v>0</v>
      </c>
    </row>
    <row r="206" spans="1:7" ht="38.25">
      <c r="A206" s="139" t="s">
        <v>88</v>
      </c>
      <c r="B206" s="127" t="s">
        <v>621</v>
      </c>
      <c r="C206" s="127" t="s">
        <v>506</v>
      </c>
      <c r="D206" s="128" t="s">
        <v>981</v>
      </c>
      <c r="E206" s="127" t="s">
        <v>77</v>
      </c>
      <c r="F206" s="487">
        <f>1275323+62490809</f>
        <v>63766132</v>
      </c>
      <c r="G206" s="487"/>
    </row>
    <row r="207" spans="1:7" ht="38.25">
      <c r="A207" s="139" t="s">
        <v>918</v>
      </c>
      <c r="B207" s="127" t="s">
        <v>621</v>
      </c>
      <c r="C207" s="127" t="s">
        <v>506</v>
      </c>
      <c r="D207" s="128" t="s">
        <v>919</v>
      </c>
      <c r="E207" s="127"/>
      <c r="F207" s="487">
        <f>F208</f>
        <v>2106541</v>
      </c>
      <c r="G207" s="487">
        <f>G208</f>
        <v>0</v>
      </c>
    </row>
    <row r="208" spans="1:7" ht="41.25" customHeight="1">
      <c r="A208" s="139" t="s">
        <v>88</v>
      </c>
      <c r="B208" s="127" t="s">
        <v>621</v>
      </c>
      <c r="C208" s="127" t="s">
        <v>506</v>
      </c>
      <c r="D208" s="128" t="s">
        <v>919</v>
      </c>
      <c r="E208" s="127">
        <v>600</v>
      </c>
      <c r="F208" s="487">
        <v>2106541</v>
      </c>
      <c r="G208" s="487"/>
    </row>
    <row r="209" spans="1:7" ht="38.25">
      <c r="A209" s="397" t="s">
        <v>911</v>
      </c>
      <c r="B209" s="127" t="s">
        <v>621</v>
      </c>
      <c r="C209" s="127" t="s">
        <v>506</v>
      </c>
      <c r="D209" s="128" t="s">
        <v>913</v>
      </c>
      <c r="E209" s="127"/>
      <c r="F209" s="487">
        <f>F210</f>
        <v>42991</v>
      </c>
      <c r="G209" s="487">
        <f>G210</f>
        <v>0</v>
      </c>
    </row>
    <row r="210" spans="1:7" ht="41.25" customHeight="1">
      <c r="A210" s="139" t="s">
        <v>88</v>
      </c>
      <c r="B210" s="127" t="s">
        <v>621</v>
      </c>
      <c r="C210" s="127" t="s">
        <v>506</v>
      </c>
      <c r="D210" s="128" t="s">
        <v>913</v>
      </c>
      <c r="E210" s="127" t="s">
        <v>77</v>
      </c>
      <c r="F210" s="487">
        <v>42991</v>
      </c>
      <c r="G210" s="487"/>
    </row>
    <row r="211" spans="1:7" ht="25.5" hidden="1">
      <c r="A211" s="297" t="s">
        <v>713</v>
      </c>
      <c r="B211" s="182" t="s">
        <v>621</v>
      </c>
      <c r="C211" s="182" t="s">
        <v>506</v>
      </c>
      <c r="D211" s="183" t="s">
        <v>315</v>
      </c>
      <c r="E211" s="182"/>
      <c r="F211" s="484">
        <f>F212</f>
        <v>0</v>
      </c>
      <c r="G211" s="484">
        <f>G212</f>
        <v>0</v>
      </c>
    </row>
    <row r="212" spans="1:7" ht="76.5" hidden="1">
      <c r="A212" s="297" t="s">
        <v>149</v>
      </c>
      <c r="B212" s="182" t="s">
        <v>621</v>
      </c>
      <c r="C212" s="182" t="s">
        <v>506</v>
      </c>
      <c r="D212" s="183" t="s">
        <v>316</v>
      </c>
      <c r="E212" s="182"/>
      <c r="F212" s="484">
        <f>F213</f>
        <v>0</v>
      </c>
      <c r="G212" s="484">
        <f>G213</f>
        <v>0</v>
      </c>
    </row>
    <row r="213" spans="1:7" ht="38.25" hidden="1">
      <c r="A213" s="297" t="s">
        <v>88</v>
      </c>
      <c r="B213" s="182" t="s">
        <v>621</v>
      </c>
      <c r="C213" s="182" t="s">
        <v>506</v>
      </c>
      <c r="D213" s="183" t="s">
        <v>316</v>
      </c>
      <c r="E213" s="182">
        <v>600</v>
      </c>
      <c r="F213" s="485"/>
      <c r="G213" s="485"/>
    </row>
    <row r="214" spans="1:7" ht="25.5" hidden="1">
      <c r="A214" s="297" t="s">
        <v>105</v>
      </c>
      <c r="B214" s="182" t="s">
        <v>621</v>
      </c>
      <c r="C214" s="182" t="s">
        <v>506</v>
      </c>
      <c r="D214" s="183" t="s">
        <v>60</v>
      </c>
      <c r="E214" s="182"/>
      <c r="F214" s="484">
        <f>F215+F217</f>
        <v>0</v>
      </c>
      <c r="G214" s="484">
        <f>G215</f>
        <v>0</v>
      </c>
    </row>
    <row r="215" spans="1:7" ht="51" hidden="1">
      <c r="A215" s="297" t="s">
        <v>150</v>
      </c>
      <c r="B215" s="182" t="s">
        <v>621</v>
      </c>
      <c r="C215" s="182" t="s">
        <v>506</v>
      </c>
      <c r="D215" s="183" t="s">
        <v>61</v>
      </c>
      <c r="E215" s="182"/>
      <c r="F215" s="484">
        <f>F216</f>
        <v>0</v>
      </c>
      <c r="G215" s="484">
        <f>G216</f>
        <v>0</v>
      </c>
    </row>
    <row r="216" spans="1:7" ht="54.75" customHeight="1" hidden="1">
      <c r="A216" s="13" t="s">
        <v>88</v>
      </c>
      <c r="B216" s="182" t="s">
        <v>621</v>
      </c>
      <c r="C216" s="182" t="s">
        <v>506</v>
      </c>
      <c r="D216" s="183" t="s">
        <v>61</v>
      </c>
      <c r="E216" s="182">
        <v>600</v>
      </c>
      <c r="F216" s="485"/>
      <c r="G216" s="485"/>
    </row>
    <row r="217" spans="1:7" ht="80.25" customHeight="1" hidden="1">
      <c r="A217" s="297" t="s">
        <v>59</v>
      </c>
      <c r="B217" s="182" t="s">
        <v>621</v>
      </c>
      <c r="C217" s="182" t="s">
        <v>506</v>
      </c>
      <c r="D217" s="183" t="s">
        <v>338</v>
      </c>
      <c r="E217" s="182"/>
      <c r="F217" s="485">
        <f>F218</f>
        <v>0</v>
      </c>
      <c r="G217" s="485"/>
    </row>
    <row r="218" spans="1:7" ht="52.5" customHeight="1" hidden="1">
      <c r="A218" s="13" t="s">
        <v>88</v>
      </c>
      <c r="B218" s="182" t="s">
        <v>621</v>
      </c>
      <c r="C218" s="182" t="s">
        <v>506</v>
      </c>
      <c r="D218" s="183" t="s">
        <v>338</v>
      </c>
      <c r="E218" s="182">
        <v>600</v>
      </c>
      <c r="F218" s="485"/>
      <c r="G218" s="485"/>
    </row>
    <row r="219" spans="1:7" ht="12.75">
      <c r="A219" s="12" t="s">
        <v>39</v>
      </c>
      <c r="B219" s="182" t="s">
        <v>621</v>
      </c>
      <c r="C219" s="210" t="s">
        <v>99</v>
      </c>
      <c r="D219" s="183"/>
      <c r="E219" s="182"/>
      <c r="F219" s="484">
        <f aca="true" t="shared" si="17" ref="F219:G223">F220</f>
        <v>16455200</v>
      </c>
      <c r="G219" s="484">
        <f t="shared" si="17"/>
        <v>16683807</v>
      </c>
    </row>
    <row r="220" spans="1:7" ht="39.75" customHeight="1">
      <c r="A220" s="198" t="s">
        <v>261</v>
      </c>
      <c r="B220" s="182" t="s">
        <v>621</v>
      </c>
      <c r="C220" s="210" t="s">
        <v>99</v>
      </c>
      <c r="D220" s="183" t="s">
        <v>530</v>
      </c>
      <c r="E220" s="182"/>
      <c r="F220" s="484">
        <f t="shared" si="17"/>
        <v>16455200</v>
      </c>
      <c r="G220" s="484">
        <f t="shared" si="17"/>
        <v>16683807</v>
      </c>
    </row>
    <row r="221" spans="1:7" ht="63.75">
      <c r="A221" s="12" t="s">
        <v>670</v>
      </c>
      <c r="B221" s="182" t="s">
        <v>621</v>
      </c>
      <c r="C221" s="210" t="s">
        <v>99</v>
      </c>
      <c r="D221" s="186" t="s">
        <v>290</v>
      </c>
      <c r="E221" s="185" t="s">
        <v>85</v>
      </c>
      <c r="F221" s="484">
        <f t="shared" si="17"/>
        <v>16455200</v>
      </c>
      <c r="G221" s="484">
        <f t="shared" si="17"/>
        <v>16683807</v>
      </c>
    </row>
    <row r="222" spans="1:7" ht="41.25" customHeight="1">
      <c r="A222" s="28" t="s">
        <v>434</v>
      </c>
      <c r="B222" s="182" t="s">
        <v>621</v>
      </c>
      <c r="C222" s="210" t="s">
        <v>99</v>
      </c>
      <c r="D222" s="183" t="s">
        <v>291</v>
      </c>
      <c r="E222" s="185"/>
      <c r="F222" s="484">
        <f t="shared" si="17"/>
        <v>16455200</v>
      </c>
      <c r="G222" s="484">
        <f t="shared" si="17"/>
        <v>16683807</v>
      </c>
    </row>
    <row r="223" spans="1:7" ht="38.25">
      <c r="A223" s="185" t="s">
        <v>468</v>
      </c>
      <c r="B223" s="182" t="s">
        <v>621</v>
      </c>
      <c r="C223" s="210" t="s">
        <v>99</v>
      </c>
      <c r="D223" s="183" t="s">
        <v>292</v>
      </c>
      <c r="E223" s="182" t="s">
        <v>85</v>
      </c>
      <c r="F223" s="484">
        <f t="shared" si="17"/>
        <v>16455200</v>
      </c>
      <c r="G223" s="484">
        <f t="shared" si="17"/>
        <v>16683807</v>
      </c>
    </row>
    <row r="224" spans="1:7" ht="38.25">
      <c r="A224" s="13" t="s">
        <v>88</v>
      </c>
      <c r="B224" s="182" t="s">
        <v>621</v>
      </c>
      <c r="C224" s="210" t="s">
        <v>99</v>
      </c>
      <c r="D224" s="183" t="s">
        <v>292</v>
      </c>
      <c r="E224" s="182">
        <v>600</v>
      </c>
      <c r="F224" s="485">
        <f>17773514-1318314</f>
        <v>16455200</v>
      </c>
      <c r="G224" s="485">
        <v>16683807</v>
      </c>
    </row>
    <row r="225" spans="1:7" ht="12.75">
      <c r="A225" s="201" t="s">
        <v>40</v>
      </c>
      <c r="B225" s="200" t="s">
        <v>621</v>
      </c>
      <c r="C225" s="200" t="s">
        <v>621</v>
      </c>
      <c r="D225" s="200" t="s">
        <v>85</v>
      </c>
      <c r="E225" s="200" t="s">
        <v>85</v>
      </c>
      <c r="F225" s="484">
        <f>F226</f>
        <v>1611036</v>
      </c>
      <c r="G225" s="484">
        <f>G226</f>
        <v>1607541</v>
      </c>
    </row>
    <row r="226" spans="1:7" ht="65.25" customHeight="1">
      <c r="A226" s="198" t="s">
        <v>413</v>
      </c>
      <c r="B226" s="182" t="s">
        <v>621</v>
      </c>
      <c r="C226" s="182" t="s">
        <v>621</v>
      </c>
      <c r="D226" s="183" t="s">
        <v>412</v>
      </c>
      <c r="E226" s="182" t="s">
        <v>85</v>
      </c>
      <c r="F226" s="484">
        <f>F227</f>
        <v>1611036</v>
      </c>
      <c r="G226" s="484">
        <f>G227</f>
        <v>1607541</v>
      </c>
    </row>
    <row r="227" spans="1:7" ht="105.75" customHeight="1">
      <c r="A227" s="12" t="s">
        <v>336</v>
      </c>
      <c r="B227" s="182" t="s">
        <v>621</v>
      </c>
      <c r="C227" s="182" t="s">
        <v>621</v>
      </c>
      <c r="D227" s="186" t="s">
        <v>462</v>
      </c>
      <c r="E227" s="185" t="s">
        <v>85</v>
      </c>
      <c r="F227" s="484">
        <f>F228+F235</f>
        <v>1611036</v>
      </c>
      <c r="G227" s="484">
        <f>G228+G235</f>
        <v>1607541</v>
      </c>
    </row>
    <row r="228" spans="1:7" ht="38.25">
      <c r="A228" s="33" t="s">
        <v>461</v>
      </c>
      <c r="B228" s="182" t="s">
        <v>621</v>
      </c>
      <c r="C228" s="182" t="s">
        <v>621</v>
      </c>
      <c r="D228" s="183" t="s">
        <v>460</v>
      </c>
      <c r="E228" s="185"/>
      <c r="F228" s="484">
        <f>F229+F232</f>
        <v>1561036</v>
      </c>
      <c r="G228" s="484">
        <f>G229+G232</f>
        <v>1560607</v>
      </c>
    </row>
    <row r="229" spans="1:7" ht="25.5">
      <c r="A229" s="33" t="s">
        <v>459</v>
      </c>
      <c r="B229" s="182" t="s">
        <v>621</v>
      </c>
      <c r="C229" s="182" t="s">
        <v>621</v>
      </c>
      <c r="D229" s="183" t="s">
        <v>458</v>
      </c>
      <c r="E229" s="185"/>
      <c r="F229" s="484">
        <f>SUM(F230:F231)</f>
        <v>7000</v>
      </c>
      <c r="G229" s="484">
        <f>SUM(G230:G231)</f>
        <v>6571</v>
      </c>
    </row>
    <row r="230" spans="1:7" ht="38.25" hidden="1">
      <c r="A230" s="13" t="s">
        <v>212</v>
      </c>
      <c r="B230" s="182" t="s">
        <v>621</v>
      </c>
      <c r="C230" s="182" t="s">
        <v>621</v>
      </c>
      <c r="D230" s="183" t="s">
        <v>458</v>
      </c>
      <c r="E230" s="185">
        <v>200</v>
      </c>
      <c r="F230" s="485">
        <v>0</v>
      </c>
      <c r="G230" s="485">
        <v>0</v>
      </c>
    </row>
    <row r="231" spans="1:7" ht="39.75" customHeight="1">
      <c r="A231" s="13" t="s">
        <v>88</v>
      </c>
      <c r="B231" s="182" t="s">
        <v>621</v>
      </c>
      <c r="C231" s="182" t="s">
        <v>621</v>
      </c>
      <c r="D231" s="183" t="s">
        <v>458</v>
      </c>
      <c r="E231" s="185">
        <v>600</v>
      </c>
      <c r="F231" s="485">
        <v>7000</v>
      </c>
      <c r="G231" s="485">
        <v>6571</v>
      </c>
    </row>
    <row r="232" spans="1:7" ht="24" customHeight="1">
      <c r="A232" s="49" t="s">
        <v>469</v>
      </c>
      <c r="B232" s="182" t="s">
        <v>621</v>
      </c>
      <c r="C232" s="182" t="s">
        <v>621</v>
      </c>
      <c r="D232" s="183" t="s">
        <v>265</v>
      </c>
      <c r="E232" s="185"/>
      <c r="F232" s="484">
        <f>SUM(F233:F234)</f>
        <v>1554036</v>
      </c>
      <c r="G232" s="484">
        <f>SUM(G233:G234)</f>
        <v>1554036</v>
      </c>
    </row>
    <row r="233" spans="1:7" ht="25.5">
      <c r="A233" s="13" t="s">
        <v>79</v>
      </c>
      <c r="B233" s="182" t="s">
        <v>621</v>
      </c>
      <c r="C233" s="182" t="s">
        <v>621</v>
      </c>
      <c r="D233" s="183" t="s">
        <v>265</v>
      </c>
      <c r="E233" s="185">
        <v>300</v>
      </c>
      <c r="F233" s="487">
        <v>691391</v>
      </c>
      <c r="G233" s="487">
        <v>691391</v>
      </c>
    </row>
    <row r="234" spans="1:7" ht="38.25" customHeight="1">
      <c r="A234" s="13" t="s">
        <v>88</v>
      </c>
      <c r="B234" s="182" t="s">
        <v>621</v>
      </c>
      <c r="C234" s="182" t="s">
        <v>621</v>
      </c>
      <c r="D234" s="183" t="s">
        <v>265</v>
      </c>
      <c r="E234" s="185">
        <v>600</v>
      </c>
      <c r="F234" s="487">
        <v>862645</v>
      </c>
      <c r="G234" s="487">
        <v>862645</v>
      </c>
    </row>
    <row r="235" spans="1:7" ht="63.75">
      <c r="A235" s="33" t="s">
        <v>715</v>
      </c>
      <c r="B235" s="182" t="s">
        <v>621</v>
      </c>
      <c r="C235" s="182" t="s">
        <v>621</v>
      </c>
      <c r="D235" s="183" t="s">
        <v>716</v>
      </c>
      <c r="E235" s="185"/>
      <c r="F235" s="484">
        <f>F236</f>
        <v>50000</v>
      </c>
      <c r="G235" s="484">
        <f>G236</f>
        <v>46934</v>
      </c>
    </row>
    <row r="236" spans="1:7" ht="25.5">
      <c r="A236" s="33" t="s">
        <v>718</v>
      </c>
      <c r="B236" s="182" t="s">
        <v>621</v>
      </c>
      <c r="C236" s="182" t="s">
        <v>621</v>
      </c>
      <c r="D236" s="183" t="s">
        <v>717</v>
      </c>
      <c r="E236" s="185"/>
      <c r="F236" s="484">
        <f>F237</f>
        <v>50000</v>
      </c>
      <c r="G236" s="484">
        <f>G237</f>
        <v>46934</v>
      </c>
    </row>
    <row r="237" spans="1:7" ht="38.25">
      <c r="A237" s="13" t="s">
        <v>212</v>
      </c>
      <c r="B237" s="182" t="s">
        <v>621</v>
      </c>
      <c r="C237" s="182" t="s">
        <v>621</v>
      </c>
      <c r="D237" s="183" t="s">
        <v>717</v>
      </c>
      <c r="E237" s="185">
        <v>200</v>
      </c>
      <c r="F237" s="485">
        <v>50000</v>
      </c>
      <c r="G237" s="485">
        <v>46934</v>
      </c>
    </row>
    <row r="238" spans="1:7" ht="18.75" customHeight="1">
      <c r="A238" s="201" t="s">
        <v>537</v>
      </c>
      <c r="B238" s="200" t="s">
        <v>621</v>
      </c>
      <c r="C238" s="200" t="s">
        <v>100</v>
      </c>
      <c r="D238" s="200" t="s">
        <v>85</v>
      </c>
      <c r="E238" s="200" t="s">
        <v>85</v>
      </c>
      <c r="F238" s="484">
        <f>F239</f>
        <v>9662223</v>
      </c>
      <c r="G238" s="484">
        <f>G239</f>
        <v>9084296</v>
      </c>
    </row>
    <row r="239" spans="1:7" ht="39" customHeight="1">
      <c r="A239" s="198" t="s">
        <v>263</v>
      </c>
      <c r="B239" s="182" t="s">
        <v>621</v>
      </c>
      <c r="C239" s="182" t="s">
        <v>100</v>
      </c>
      <c r="D239" s="183" t="s">
        <v>530</v>
      </c>
      <c r="E239" s="182" t="s">
        <v>85</v>
      </c>
      <c r="F239" s="484">
        <f>F240</f>
        <v>9662223</v>
      </c>
      <c r="G239" s="484">
        <f>G240</f>
        <v>9084296</v>
      </c>
    </row>
    <row r="240" spans="1:7" ht="63.75">
      <c r="A240" s="12" t="s">
        <v>671</v>
      </c>
      <c r="B240" s="182" t="s">
        <v>621</v>
      </c>
      <c r="C240" s="182" t="s">
        <v>100</v>
      </c>
      <c r="D240" s="183" t="s">
        <v>293</v>
      </c>
      <c r="E240" s="185" t="s">
        <v>85</v>
      </c>
      <c r="F240" s="484">
        <f>F241+F244+F249</f>
        <v>9662223</v>
      </c>
      <c r="G240" s="484">
        <f>G241+G244+G249</f>
        <v>9084296</v>
      </c>
    </row>
    <row r="241" spans="1:7" ht="63.75">
      <c r="A241" s="28" t="s">
        <v>435</v>
      </c>
      <c r="B241" s="182" t="s">
        <v>621</v>
      </c>
      <c r="C241" s="182" t="s">
        <v>100</v>
      </c>
      <c r="D241" s="183" t="s">
        <v>294</v>
      </c>
      <c r="E241" s="185"/>
      <c r="F241" s="484">
        <f>F242</f>
        <v>236023</v>
      </c>
      <c r="G241" s="484">
        <f>G242</f>
        <v>236023</v>
      </c>
    </row>
    <row r="242" spans="1:7" ht="51">
      <c r="A242" s="13" t="s">
        <v>569</v>
      </c>
      <c r="B242" s="182" t="s">
        <v>621</v>
      </c>
      <c r="C242" s="182" t="s">
        <v>100</v>
      </c>
      <c r="D242" s="183" t="s">
        <v>295</v>
      </c>
      <c r="E242" s="182"/>
      <c r="F242" s="484">
        <f>F243</f>
        <v>236023</v>
      </c>
      <c r="G242" s="484">
        <f>G243</f>
        <v>236023</v>
      </c>
    </row>
    <row r="243" spans="1:7" ht="75" customHeight="1">
      <c r="A243" s="13" t="s">
        <v>698</v>
      </c>
      <c r="B243" s="182" t="s">
        <v>621</v>
      </c>
      <c r="C243" s="182" t="s">
        <v>100</v>
      </c>
      <c r="D243" s="183" t="s">
        <v>295</v>
      </c>
      <c r="E243" s="182">
        <v>100</v>
      </c>
      <c r="F243" s="485">
        <v>236023</v>
      </c>
      <c r="G243" s="485">
        <v>236023</v>
      </c>
    </row>
    <row r="244" spans="1:7" ht="39.75" customHeight="1">
      <c r="A244" s="33" t="s">
        <v>310</v>
      </c>
      <c r="B244" s="182" t="s">
        <v>621</v>
      </c>
      <c r="C244" s="182" t="s">
        <v>100</v>
      </c>
      <c r="D244" s="183" t="s">
        <v>297</v>
      </c>
      <c r="E244" s="182"/>
      <c r="F244" s="484">
        <f>F245</f>
        <v>8051438</v>
      </c>
      <c r="G244" s="484">
        <f>G245</f>
        <v>7557799</v>
      </c>
    </row>
    <row r="245" spans="1:7" ht="38.25">
      <c r="A245" s="185" t="s">
        <v>468</v>
      </c>
      <c r="B245" s="182" t="s">
        <v>621</v>
      </c>
      <c r="C245" s="182" t="s">
        <v>100</v>
      </c>
      <c r="D245" s="183" t="s">
        <v>298</v>
      </c>
      <c r="E245" s="182" t="s">
        <v>85</v>
      </c>
      <c r="F245" s="484">
        <f>SUM(F246:F248)</f>
        <v>8051438</v>
      </c>
      <c r="G245" s="484">
        <f>SUM(G246:G248)</f>
        <v>7557799</v>
      </c>
    </row>
    <row r="246" spans="1:7" ht="78.75" customHeight="1">
      <c r="A246" s="13" t="s">
        <v>698</v>
      </c>
      <c r="B246" s="182" t="s">
        <v>621</v>
      </c>
      <c r="C246" s="182" t="s">
        <v>100</v>
      </c>
      <c r="D246" s="183" t="s">
        <v>298</v>
      </c>
      <c r="E246" s="182" t="s">
        <v>565</v>
      </c>
      <c r="F246" s="485">
        <v>7641344</v>
      </c>
      <c r="G246" s="485">
        <v>7172848</v>
      </c>
    </row>
    <row r="247" spans="1:7" ht="38.25">
      <c r="A247" s="13" t="s">
        <v>212</v>
      </c>
      <c r="B247" s="182" t="s">
        <v>621</v>
      </c>
      <c r="C247" s="182" t="s">
        <v>100</v>
      </c>
      <c r="D247" s="183" t="s">
        <v>298</v>
      </c>
      <c r="E247" s="182" t="s">
        <v>72</v>
      </c>
      <c r="F247" s="485">
        <f>163800+205004+36000</f>
        <v>404804</v>
      </c>
      <c r="G247" s="485">
        <v>379985</v>
      </c>
    </row>
    <row r="248" spans="1:7" ht="12.75">
      <c r="A248" s="13" t="s">
        <v>75</v>
      </c>
      <c r="B248" s="182" t="s">
        <v>621</v>
      </c>
      <c r="C248" s="182" t="s">
        <v>100</v>
      </c>
      <c r="D248" s="183" t="s">
        <v>298</v>
      </c>
      <c r="E248" s="182">
        <v>800</v>
      </c>
      <c r="F248" s="485">
        <v>5290</v>
      </c>
      <c r="G248" s="485">
        <v>4966</v>
      </c>
    </row>
    <row r="249" spans="1:7" ht="38.25" customHeight="1">
      <c r="A249" s="185" t="s">
        <v>604</v>
      </c>
      <c r="B249" s="182" t="s">
        <v>621</v>
      </c>
      <c r="C249" s="182" t="s">
        <v>100</v>
      </c>
      <c r="D249" s="183" t="s">
        <v>606</v>
      </c>
      <c r="E249" s="182"/>
      <c r="F249" s="484">
        <f>F250</f>
        <v>1374762</v>
      </c>
      <c r="G249" s="484">
        <f>G250</f>
        <v>1290474</v>
      </c>
    </row>
    <row r="250" spans="1:7" ht="25.5">
      <c r="A250" s="185" t="s">
        <v>694</v>
      </c>
      <c r="B250" s="182" t="s">
        <v>621</v>
      </c>
      <c r="C250" s="182" t="s">
        <v>100</v>
      </c>
      <c r="D250" s="183" t="s">
        <v>607</v>
      </c>
      <c r="E250" s="182"/>
      <c r="F250" s="484">
        <f>SUM(F251:F253)</f>
        <v>1374762</v>
      </c>
      <c r="G250" s="484">
        <f>SUM(G251:G253)</f>
        <v>1290474</v>
      </c>
    </row>
    <row r="251" spans="1:7" ht="80.25" customHeight="1">
      <c r="A251" s="13" t="s">
        <v>698</v>
      </c>
      <c r="B251" s="182" t="s">
        <v>621</v>
      </c>
      <c r="C251" s="182" t="s">
        <v>100</v>
      </c>
      <c r="D251" s="183" t="s">
        <v>607</v>
      </c>
      <c r="E251" s="182" t="s">
        <v>565</v>
      </c>
      <c r="F251" s="485">
        <v>1290762</v>
      </c>
      <c r="G251" s="485">
        <v>1211624</v>
      </c>
    </row>
    <row r="252" spans="1:7" ht="38.25">
      <c r="A252" s="13" t="s">
        <v>212</v>
      </c>
      <c r="B252" s="182" t="s">
        <v>621</v>
      </c>
      <c r="C252" s="182" t="s">
        <v>100</v>
      </c>
      <c r="D252" s="183" t="s">
        <v>607</v>
      </c>
      <c r="E252" s="182" t="s">
        <v>72</v>
      </c>
      <c r="F252" s="485">
        <v>84000</v>
      </c>
      <c r="G252" s="485">
        <v>78850</v>
      </c>
    </row>
    <row r="253" spans="1:7" ht="12.75" hidden="1">
      <c r="A253" s="180" t="s">
        <v>75</v>
      </c>
      <c r="B253" s="178" t="s">
        <v>621</v>
      </c>
      <c r="C253" s="178" t="s">
        <v>100</v>
      </c>
      <c r="D253" s="179" t="s">
        <v>607</v>
      </c>
      <c r="E253" s="178">
        <v>800</v>
      </c>
      <c r="F253" s="489"/>
      <c r="G253" s="489"/>
    </row>
    <row r="254" spans="1:7" ht="12.75">
      <c r="A254" s="161" t="s">
        <v>685</v>
      </c>
      <c r="B254" s="159" t="s">
        <v>526</v>
      </c>
      <c r="C254" s="203" t="s">
        <v>436</v>
      </c>
      <c r="D254" s="159" t="s">
        <v>85</v>
      </c>
      <c r="E254" s="159" t="s">
        <v>85</v>
      </c>
      <c r="F254" s="483">
        <f>F255</f>
        <v>28550829</v>
      </c>
      <c r="G254" s="483">
        <f>G255</f>
        <v>26809744</v>
      </c>
    </row>
    <row r="255" spans="1:7" ht="12.75">
      <c r="A255" s="201" t="s">
        <v>538</v>
      </c>
      <c r="B255" s="200" t="s">
        <v>526</v>
      </c>
      <c r="C255" s="200" t="s">
        <v>504</v>
      </c>
      <c r="D255" s="200" t="s">
        <v>85</v>
      </c>
      <c r="E255" s="200" t="s">
        <v>85</v>
      </c>
      <c r="F255" s="484">
        <f>F256</f>
        <v>28550829</v>
      </c>
      <c r="G255" s="484">
        <f>G256</f>
        <v>26809744</v>
      </c>
    </row>
    <row r="256" spans="1:7" ht="25.5">
      <c r="A256" s="198" t="s">
        <v>15</v>
      </c>
      <c r="B256" s="182" t="s">
        <v>526</v>
      </c>
      <c r="C256" s="182" t="s">
        <v>504</v>
      </c>
      <c r="D256" s="183" t="s">
        <v>299</v>
      </c>
      <c r="E256" s="182" t="s">
        <v>85</v>
      </c>
      <c r="F256" s="484">
        <f>F257+F263</f>
        <v>28550829</v>
      </c>
      <c r="G256" s="484">
        <f>G257+G263</f>
        <v>26809744</v>
      </c>
    </row>
    <row r="257" spans="1:7" ht="41.25" customHeight="1">
      <c r="A257" s="12" t="s">
        <v>559</v>
      </c>
      <c r="B257" s="182" t="s">
        <v>526</v>
      </c>
      <c r="C257" s="182" t="s">
        <v>504</v>
      </c>
      <c r="D257" s="183" t="s">
        <v>300</v>
      </c>
      <c r="E257" s="185" t="s">
        <v>85</v>
      </c>
      <c r="F257" s="484">
        <f>F258</f>
        <v>5429723</v>
      </c>
      <c r="G257" s="484">
        <f>G258</f>
        <v>5096823</v>
      </c>
    </row>
    <row r="258" spans="1:7" ht="25.5">
      <c r="A258" s="29" t="s">
        <v>457</v>
      </c>
      <c r="B258" s="182" t="s">
        <v>526</v>
      </c>
      <c r="C258" s="182" t="s">
        <v>504</v>
      </c>
      <c r="D258" s="183" t="s">
        <v>301</v>
      </c>
      <c r="E258" s="185"/>
      <c r="F258" s="484">
        <f>F259</f>
        <v>5429723</v>
      </c>
      <c r="G258" s="484">
        <f>G259</f>
        <v>5096823</v>
      </c>
    </row>
    <row r="259" spans="1:7" ht="38.25">
      <c r="A259" s="185" t="s">
        <v>696</v>
      </c>
      <c r="B259" s="182" t="s">
        <v>526</v>
      </c>
      <c r="C259" s="182" t="s">
        <v>504</v>
      </c>
      <c r="D259" s="183" t="s">
        <v>302</v>
      </c>
      <c r="E259" s="182" t="s">
        <v>85</v>
      </c>
      <c r="F259" s="484">
        <f>SUM(F260:F262)</f>
        <v>5429723</v>
      </c>
      <c r="G259" s="484">
        <f>SUM(G260:G262)</f>
        <v>5096823</v>
      </c>
    </row>
    <row r="260" spans="1:7" ht="81.75" customHeight="1">
      <c r="A260" s="13" t="s">
        <v>698</v>
      </c>
      <c r="B260" s="182" t="s">
        <v>526</v>
      </c>
      <c r="C260" s="182" t="s">
        <v>504</v>
      </c>
      <c r="D260" s="183" t="s">
        <v>302</v>
      </c>
      <c r="E260" s="182">
        <v>100</v>
      </c>
      <c r="F260" s="485">
        <v>5205523</v>
      </c>
      <c r="G260" s="485">
        <v>4886368</v>
      </c>
    </row>
    <row r="261" spans="1:7" ht="38.25">
      <c r="A261" s="13" t="s">
        <v>212</v>
      </c>
      <c r="B261" s="182" t="s">
        <v>526</v>
      </c>
      <c r="C261" s="182" t="s">
        <v>504</v>
      </c>
      <c r="D261" s="183" t="s">
        <v>302</v>
      </c>
      <c r="E261" s="182">
        <v>200</v>
      </c>
      <c r="F261" s="485">
        <f>48120+130462+6386+6336</f>
        <v>191304</v>
      </c>
      <c r="G261" s="485">
        <v>179576</v>
      </c>
    </row>
    <row r="262" spans="1:7" ht="12.75">
      <c r="A262" s="13" t="s">
        <v>75</v>
      </c>
      <c r="B262" s="182" t="s">
        <v>526</v>
      </c>
      <c r="C262" s="182" t="s">
        <v>504</v>
      </c>
      <c r="D262" s="183" t="s">
        <v>302</v>
      </c>
      <c r="E262" s="182">
        <v>800</v>
      </c>
      <c r="F262" s="485">
        <v>32896</v>
      </c>
      <c r="G262" s="485">
        <v>30879</v>
      </c>
    </row>
    <row r="263" spans="1:7" ht="39.75" customHeight="1">
      <c r="A263" s="12" t="s">
        <v>560</v>
      </c>
      <c r="B263" s="182" t="s">
        <v>526</v>
      </c>
      <c r="C263" s="182" t="s">
        <v>504</v>
      </c>
      <c r="D263" s="183" t="s">
        <v>303</v>
      </c>
      <c r="E263" s="185"/>
      <c r="F263" s="484">
        <f>F264</f>
        <v>23121106</v>
      </c>
      <c r="G263" s="484">
        <f>G264</f>
        <v>21712921</v>
      </c>
    </row>
    <row r="264" spans="1:7" ht="63.75">
      <c r="A264" s="29" t="s">
        <v>608</v>
      </c>
      <c r="B264" s="182" t="s">
        <v>526</v>
      </c>
      <c r="C264" s="182" t="s">
        <v>504</v>
      </c>
      <c r="D264" s="183" t="s">
        <v>304</v>
      </c>
      <c r="E264" s="185"/>
      <c r="F264" s="484">
        <f>F265+F267</f>
        <v>23121106</v>
      </c>
      <c r="G264" s="484">
        <f>G265+G267</f>
        <v>21712921</v>
      </c>
    </row>
    <row r="265" spans="1:7" ht="38.25">
      <c r="A265" s="185" t="s">
        <v>696</v>
      </c>
      <c r="B265" s="182" t="s">
        <v>526</v>
      </c>
      <c r="C265" s="182" t="s">
        <v>504</v>
      </c>
      <c r="D265" s="183" t="s">
        <v>305</v>
      </c>
      <c r="E265" s="185"/>
      <c r="F265" s="484">
        <f>F266</f>
        <v>23031106</v>
      </c>
      <c r="G265" s="484">
        <f>G266</f>
        <v>21619052</v>
      </c>
    </row>
    <row r="266" spans="1:7" ht="38.25">
      <c r="A266" s="13" t="s">
        <v>88</v>
      </c>
      <c r="B266" s="182" t="s">
        <v>526</v>
      </c>
      <c r="C266" s="182" t="s">
        <v>504</v>
      </c>
      <c r="D266" s="183" t="s">
        <v>305</v>
      </c>
      <c r="E266" s="185">
        <v>600</v>
      </c>
      <c r="F266" s="485">
        <v>23031106</v>
      </c>
      <c r="G266" s="485">
        <v>21619052</v>
      </c>
    </row>
    <row r="267" spans="1:7" ht="36">
      <c r="A267" s="30" t="s">
        <v>275</v>
      </c>
      <c r="B267" s="210" t="s">
        <v>526</v>
      </c>
      <c r="C267" s="182" t="s">
        <v>504</v>
      </c>
      <c r="D267" s="183" t="s">
        <v>254</v>
      </c>
      <c r="E267" s="185"/>
      <c r="F267" s="484">
        <f>F268</f>
        <v>90000</v>
      </c>
      <c r="G267" s="484">
        <f>G268</f>
        <v>93869</v>
      </c>
    </row>
    <row r="268" spans="1:7" ht="28.5" customHeight="1">
      <c r="A268" s="180" t="s">
        <v>89</v>
      </c>
      <c r="B268" s="209" t="s">
        <v>526</v>
      </c>
      <c r="C268" s="178" t="s">
        <v>504</v>
      </c>
      <c r="D268" s="179" t="s">
        <v>254</v>
      </c>
      <c r="E268" s="204">
        <v>200</v>
      </c>
      <c r="F268" s="489">
        <f>100000-10000</f>
        <v>90000</v>
      </c>
      <c r="G268" s="489">
        <v>93869</v>
      </c>
    </row>
    <row r="269" spans="1:7" ht="12.75">
      <c r="A269" s="191" t="s">
        <v>41</v>
      </c>
      <c r="B269" s="203" t="s">
        <v>100</v>
      </c>
      <c r="C269" s="160" t="s">
        <v>436</v>
      </c>
      <c r="D269" s="189"/>
      <c r="E269" s="188"/>
      <c r="F269" s="483">
        <f aca="true" t="shared" si="18" ref="F269:G273">F270</f>
        <v>1084220</v>
      </c>
      <c r="G269" s="483">
        <f t="shared" si="18"/>
        <v>1084220</v>
      </c>
    </row>
    <row r="270" spans="1:7" ht="25.5">
      <c r="A270" s="13" t="s">
        <v>42</v>
      </c>
      <c r="B270" s="210" t="s">
        <v>100</v>
      </c>
      <c r="C270" s="210" t="s">
        <v>621</v>
      </c>
      <c r="D270" s="183"/>
      <c r="E270" s="185"/>
      <c r="F270" s="484">
        <f t="shared" si="18"/>
        <v>1084220</v>
      </c>
      <c r="G270" s="484">
        <f t="shared" si="18"/>
        <v>1084220</v>
      </c>
    </row>
    <row r="271" spans="1:7" ht="25.5">
      <c r="A271" s="198" t="s">
        <v>593</v>
      </c>
      <c r="B271" s="210" t="s">
        <v>100</v>
      </c>
      <c r="C271" s="210" t="s">
        <v>621</v>
      </c>
      <c r="D271" s="183" t="s">
        <v>14</v>
      </c>
      <c r="E271" s="185"/>
      <c r="F271" s="484">
        <f t="shared" si="18"/>
        <v>1084220</v>
      </c>
      <c r="G271" s="484">
        <f t="shared" si="18"/>
        <v>1084220</v>
      </c>
    </row>
    <row r="272" spans="1:7" ht="25.5">
      <c r="A272" s="12" t="s">
        <v>603</v>
      </c>
      <c r="B272" s="210" t="s">
        <v>100</v>
      </c>
      <c r="C272" s="210" t="s">
        <v>621</v>
      </c>
      <c r="D272" s="186" t="s">
        <v>16</v>
      </c>
      <c r="E272" s="185"/>
      <c r="F272" s="484">
        <f t="shared" si="18"/>
        <v>1084220</v>
      </c>
      <c r="G272" s="484">
        <f t="shared" si="18"/>
        <v>1084220</v>
      </c>
    </row>
    <row r="273" spans="1:7" ht="38.25">
      <c r="A273" s="27" t="s">
        <v>731</v>
      </c>
      <c r="B273" s="210" t="s">
        <v>100</v>
      </c>
      <c r="C273" s="210" t="s">
        <v>621</v>
      </c>
      <c r="D273" s="183" t="s">
        <v>43</v>
      </c>
      <c r="E273" s="185"/>
      <c r="F273" s="484">
        <f t="shared" si="18"/>
        <v>1084220</v>
      </c>
      <c r="G273" s="484">
        <f t="shared" si="18"/>
        <v>1084220</v>
      </c>
    </row>
    <row r="274" spans="1:7" ht="28.5" customHeight="1">
      <c r="A274" s="180" t="s">
        <v>89</v>
      </c>
      <c r="B274" s="209" t="s">
        <v>100</v>
      </c>
      <c r="C274" s="209" t="s">
        <v>621</v>
      </c>
      <c r="D274" s="179" t="s">
        <v>43</v>
      </c>
      <c r="E274" s="204">
        <v>200</v>
      </c>
      <c r="F274" s="489">
        <v>1084220</v>
      </c>
      <c r="G274" s="489">
        <v>1084220</v>
      </c>
    </row>
    <row r="275" spans="1:7" ht="12.75">
      <c r="A275" s="161" t="s">
        <v>539</v>
      </c>
      <c r="B275" s="159" t="s">
        <v>527</v>
      </c>
      <c r="C275" s="203" t="s">
        <v>436</v>
      </c>
      <c r="D275" s="159" t="s">
        <v>85</v>
      </c>
      <c r="E275" s="159" t="s">
        <v>85</v>
      </c>
      <c r="F275" s="483">
        <f>F276+F299+F321</f>
        <v>74917352</v>
      </c>
      <c r="G275" s="483">
        <f>G276+G299+G321</f>
        <v>75856554</v>
      </c>
    </row>
    <row r="276" spans="1:7" ht="12.75">
      <c r="A276" s="201" t="s">
        <v>540</v>
      </c>
      <c r="B276" s="200" t="s">
        <v>527</v>
      </c>
      <c r="C276" s="200" t="s">
        <v>99</v>
      </c>
      <c r="D276" s="200" t="s">
        <v>85</v>
      </c>
      <c r="E276" s="200" t="s">
        <v>85</v>
      </c>
      <c r="F276" s="484">
        <f>F277+F294</f>
        <v>7485212</v>
      </c>
      <c r="G276" s="484">
        <f>G277+G294</f>
        <v>7483986</v>
      </c>
    </row>
    <row r="277" spans="1:7" ht="38.25">
      <c r="A277" s="198" t="s">
        <v>157</v>
      </c>
      <c r="B277" s="182" t="s">
        <v>527</v>
      </c>
      <c r="C277" s="182" t="s">
        <v>99</v>
      </c>
      <c r="D277" s="183" t="s">
        <v>207</v>
      </c>
      <c r="E277" s="182" t="s">
        <v>85</v>
      </c>
      <c r="F277" s="484">
        <f>F278</f>
        <v>7465212</v>
      </c>
      <c r="G277" s="484">
        <f>G278</f>
        <v>7465212</v>
      </c>
    </row>
    <row r="278" spans="1:7" ht="53.25" customHeight="1">
      <c r="A278" s="12" t="s">
        <v>158</v>
      </c>
      <c r="B278" s="182" t="s">
        <v>527</v>
      </c>
      <c r="C278" s="182" t="s">
        <v>99</v>
      </c>
      <c r="D278" s="186" t="s">
        <v>114</v>
      </c>
      <c r="E278" s="185" t="s">
        <v>85</v>
      </c>
      <c r="F278" s="484">
        <f>F279+F286+F290</f>
        <v>7465212</v>
      </c>
      <c r="G278" s="484">
        <f>G279+G286+G290</f>
        <v>7465212</v>
      </c>
    </row>
    <row r="279" spans="1:7" ht="38.25">
      <c r="A279" s="29" t="s">
        <v>609</v>
      </c>
      <c r="B279" s="182" t="s">
        <v>527</v>
      </c>
      <c r="C279" s="182" t="s">
        <v>99</v>
      </c>
      <c r="D279" s="186" t="s">
        <v>123</v>
      </c>
      <c r="E279" s="182"/>
      <c r="F279" s="484">
        <f>F280+F283</f>
        <v>7074641</v>
      </c>
      <c r="G279" s="484">
        <f>G280+G283</f>
        <v>7074641</v>
      </c>
    </row>
    <row r="280" spans="1:7" ht="25.5">
      <c r="A280" s="185" t="s">
        <v>562</v>
      </c>
      <c r="B280" s="182" t="s">
        <v>527</v>
      </c>
      <c r="C280" s="182" t="s">
        <v>99</v>
      </c>
      <c r="D280" s="183" t="s">
        <v>610</v>
      </c>
      <c r="E280" s="182" t="s">
        <v>85</v>
      </c>
      <c r="F280" s="484">
        <f>SUM(F281:F282)</f>
        <v>6592141</v>
      </c>
      <c r="G280" s="484">
        <f>SUM(G281:G282)</f>
        <v>6592141</v>
      </c>
    </row>
    <row r="281" spans="1:7" ht="38.25">
      <c r="A281" s="13" t="s">
        <v>212</v>
      </c>
      <c r="B281" s="182" t="s">
        <v>527</v>
      </c>
      <c r="C281" s="182" t="s">
        <v>99</v>
      </c>
      <c r="D281" s="183" t="s">
        <v>610</v>
      </c>
      <c r="E281" s="182">
        <v>200</v>
      </c>
      <c r="F281" s="485">
        <v>71000</v>
      </c>
      <c r="G281" s="485">
        <v>71000</v>
      </c>
    </row>
    <row r="282" spans="1:7" ht="25.5">
      <c r="A282" s="13" t="s">
        <v>79</v>
      </c>
      <c r="B282" s="182" t="s">
        <v>527</v>
      </c>
      <c r="C282" s="182" t="s">
        <v>99</v>
      </c>
      <c r="D282" s="183" t="s">
        <v>610</v>
      </c>
      <c r="E282" s="182">
        <v>300</v>
      </c>
      <c r="F282" s="485">
        <v>6521141</v>
      </c>
      <c r="G282" s="485">
        <v>6521141</v>
      </c>
    </row>
    <row r="283" spans="1:7" ht="25.5">
      <c r="A283" s="185" t="s">
        <v>563</v>
      </c>
      <c r="B283" s="182" t="s">
        <v>527</v>
      </c>
      <c r="C283" s="182" t="s">
        <v>99</v>
      </c>
      <c r="D283" s="183" t="s">
        <v>611</v>
      </c>
      <c r="E283" s="182" t="s">
        <v>85</v>
      </c>
      <c r="F283" s="484">
        <f>SUM(F284:F285)</f>
        <v>482500</v>
      </c>
      <c r="G283" s="484">
        <f>SUM(G284:G285)</f>
        <v>482500</v>
      </c>
    </row>
    <row r="284" spans="1:7" ht="38.25">
      <c r="A284" s="13" t="s">
        <v>212</v>
      </c>
      <c r="B284" s="182" t="s">
        <v>527</v>
      </c>
      <c r="C284" s="182" t="s">
        <v>99</v>
      </c>
      <c r="D284" s="183" t="s">
        <v>611</v>
      </c>
      <c r="E284" s="182">
        <v>200</v>
      </c>
      <c r="F284" s="485">
        <v>9500</v>
      </c>
      <c r="G284" s="485">
        <v>9500</v>
      </c>
    </row>
    <row r="285" spans="1:7" ht="25.5">
      <c r="A285" s="13" t="s">
        <v>79</v>
      </c>
      <c r="B285" s="182" t="s">
        <v>527</v>
      </c>
      <c r="C285" s="182" t="s">
        <v>99</v>
      </c>
      <c r="D285" s="183" t="s">
        <v>611</v>
      </c>
      <c r="E285" s="182" t="s">
        <v>78</v>
      </c>
      <c r="F285" s="485">
        <v>473000</v>
      </c>
      <c r="G285" s="485">
        <v>473000</v>
      </c>
    </row>
    <row r="286" spans="1:7" ht="38.25">
      <c r="A286" s="28" t="s">
        <v>120</v>
      </c>
      <c r="B286" s="200" t="s">
        <v>527</v>
      </c>
      <c r="C286" s="200" t="s">
        <v>99</v>
      </c>
      <c r="D286" s="186" t="s">
        <v>124</v>
      </c>
      <c r="E286" s="200"/>
      <c r="F286" s="484">
        <f>F287</f>
        <v>125083</v>
      </c>
      <c r="G286" s="484">
        <f>G287</f>
        <v>125083</v>
      </c>
    </row>
    <row r="287" spans="1:7" ht="39.75" customHeight="1">
      <c r="A287" s="185" t="s">
        <v>246</v>
      </c>
      <c r="B287" s="182" t="s">
        <v>527</v>
      </c>
      <c r="C287" s="182" t="s">
        <v>99</v>
      </c>
      <c r="D287" s="183" t="s">
        <v>125</v>
      </c>
      <c r="E287" s="182" t="s">
        <v>85</v>
      </c>
      <c r="F287" s="484">
        <f>SUM(F288:F289)</f>
        <v>125083</v>
      </c>
      <c r="G287" s="484">
        <f>SUM(G288:G289)</f>
        <v>125083</v>
      </c>
    </row>
    <row r="288" spans="1:7" ht="38.25">
      <c r="A288" s="13" t="s">
        <v>212</v>
      </c>
      <c r="B288" s="182" t="s">
        <v>527</v>
      </c>
      <c r="C288" s="182" t="s">
        <v>99</v>
      </c>
      <c r="D288" s="183" t="s">
        <v>125</v>
      </c>
      <c r="E288" s="182">
        <v>200</v>
      </c>
      <c r="F288" s="484">
        <v>1900</v>
      </c>
      <c r="G288" s="484">
        <v>1900</v>
      </c>
    </row>
    <row r="289" spans="1:7" ht="25.5">
      <c r="A289" s="13" t="s">
        <v>79</v>
      </c>
      <c r="B289" s="182" t="s">
        <v>527</v>
      </c>
      <c r="C289" s="182" t="s">
        <v>99</v>
      </c>
      <c r="D289" s="183" t="s">
        <v>125</v>
      </c>
      <c r="E289" s="182" t="s">
        <v>78</v>
      </c>
      <c r="F289" s="485">
        <v>123183</v>
      </c>
      <c r="G289" s="485">
        <v>123183</v>
      </c>
    </row>
    <row r="290" spans="1:7" ht="51">
      <c r="A290" s="31" t="s">
        <v>612</v>
      </c>
      <c r="B290" s="200" t="s">
        <v>527</v>
      </c>
      <c r="C290" s="200" t="s">
        <v>99</v>
      </c>
      <c r="D290" s="186" t="s">
        <v>126</v>
      </c>
      <c r="E290" s="200"/>
      <c r="F290" s="484">
        <f>F291</f>
        <v>265488</v>
      </c>
      <c r="G290" s="484">
        <f>G291</f>
        <v>265488</v>
      </c>
    </row>
    <row r="291" spans="1:7" ht="51">
      <c r="A291" s="185" t="s">
        <v>466</v>
      </c>
      <c r="B291" s="182" t="s">
        <v>527</v>
      </c>
      <c r="C291" s="182" t="s">
        <v>99</v>
      </c>
      <c r="D291" s="183" t="s">
        <v>127</v>
      </c>
      <c r="E291" s="182" t="s">
        <v>85</v>
      </c>
      <c r="F291" s="484">
        <f>SUM(F292:F293)</f>
        <v>265488</v>
      </c>
      <c r="G291" s="484">
        <f>SUM(G292:G293)</f>
        <v>265488</v>
      </c>
    </row>
    <row r="292" spans="1:7" ht="38.25">
      <c r="A292" s="13" t="s">
        <v>212</v>
      </c>
      <c r="B292" s="182" t="s">
        <v>527</v>
      </c>
      <c r="C292" s="182" t="s">
        <v>99</v>
      </c>
      <c r="D292" s="183" t="s">
        <v>127</v>
      </c>
      <c r="E292" s="182">
        <v>200</v>
      </c>
      <c r="F292" s="485">
        <v>2000</v>
      </c>
      <c r="G292" s="485">
        <v>2000</v>
      </c>
    </row>
    <row r="293" spans="1:7" ht="25.5">
      <c r="A293" s="13" t="s">
        <v>79</v>
      </c>
      <c r="B293" s="182" t="s">
        <v>527</v>
      </c>
      <c r="C293" s="182" t="s">
        <v>99</v>
      </c>
      <c r="D293" s="183" t="s">
        <v>127</v>
      </c>
      <c r="E293" s="182">
        <v>300</v>
      </c>
      <c r="F293" s="485">
        <v>263488</v>
      </c>
      <c r="G293" s="485">
        <v>263488</v>
      </c>
    </row>
    <row r="294" spans="1:7" ht="39.75" customHeight="1">
      <c r="A294" s="198" t="s">
        <v>261</v>
      </c>
      <c r="B294" s="182">
        <v>10</v>
      </c>
      <c r="C294" s="182" t="s">
        <v>99</v>
      </c>
      <c r="D294" s="183" t="s">
        <v>530</v>
      </c>
      <c r="E294" s="182"/>
      <c r="F294" s="484">
        <f aca="true" t="shared" si="19" ref="F294:G297">F295</f>
        <v>20000</v>
      </c>
      <c r="G294" s="484">
        <f t="shared" si="19"/>
        <v>18774</v>
      </c>
    </row>
    <row r="295" spans="1:7" ht="51.75" customHeight="1">
      <c r="A295" s="12" t="s">
        <v>262</v>
      </c>
      <c r="B295" s="182">
        <v>10</v>
      </c>
      <c r="C295" s="182" t="s">
        <v>99</v>
      </c>
      <c r="D295" s="186" t="s">
        <v>531</v>
      </c>
      <c r="E295" s="182"/>
      <c r="F295" s="484">
        <f t="shared" si="19"/>
        <v>20000</v>
      </c>
      <c r="G295" s="484">
        <f t="shared" si="19"/>
        <v>18774</v>
      </c>
    </row>
    <row r="296" spans="1:7" ht="25.5">
      <c r="A296" s="28" t="s">
        <v>433</v>
      </c>
      <c r="B296" s="182">
        <v>10</v>
      </c>
      <c r="C296" s="182" t="s">
        <v>99</v>
      </c>
      <c r="D296" s="186" t="s">
        <v>288</v>
      </c>
      <c r="E296" s="182"/>
      <c r="F296" s="484">
        <f t="shared" si="19"/>
        <v>20000</v>
      </c>
      <c r="G296" s="484">
        <f t="shared" si="19"/>
        <v>18774</v>
      </c>
    </row>
    <row r="297" spans="1:7" ht="12.75">
      <c r="A297" s="30" t="s">
        <v>258</v>
      </c>
      <c r="B297" s="182">
        <v>10</v>
      </c>
      <c r="C297" s="182" t="s">
        <v>99</v>
      </c>
      <c r="D297" s="183" t="s">
        <v>257</v>
      </c>
      <c r="E297" s="182"/>
      <c r="F297" s="484">
        <f t="shared" si="19"/>
        <v>20000</v>
      </c>
      <c r="G297" s="484">
        <f t="shared" si="19"/>
        <v>18774</v>
      </c>
    </row>
    <row r="298" spans="1:7" ht="25.5">
      <c r="A298" s="13" t="s">
        <v>79</v>
      </c>
      <c r="B298" s="182">
        <v>10</v>
      </c>
      <c r="C298" s="182" t="s">
        <v>99</v>
      </c>
      <c r="D298" s="183" t="s">
        <v>257</v>
      </c>
      <c r="E298" s="182">
        <v>300</v>
      </c>
      <c r="F298" s="485">
        <v>20000</v>
      </c>
      <c r="G298" s="485">
        <v>18774</v>
      </c>
    </row>
    <row r="299" spans="1:7" ht="12.75">
      <c r="A299" s="201" t="s">
        <v>541</v>
      </c>
      <c r="B299" s="200" t="s">
        <v>527</v>
      </c>
      <c r="C299" s="200" t="s">
        <v>507</v>
      </c>
      <c r="D299" s="200" t="s">
        <v>85</v>
      </c>
      <c r="E299" s="200" t="s">
        <v>85</v>
      </c>
      <c r="F299" s="484">
        <f>F300+F315</f>
        <v>62655640</v>
      </c>
      <c r="G299" s="484">
        <f>G300+G315</f>
        <v>63596068</v>
      </c>
    </row>
    <row r="300" spans="1:7" ht="38.25">
      <c r="A300" s="198" t="s">
        <v>157</v>
      </c>
      <c r="B300" s="182" t="s">
        <v>527</v>
      </c>
      <c r="C300" s="182" t="s">
        <v>507</v>
      </c>
      <c r="D300" s="183" t="s">
        <v>207</v>
      </c>
      <c r="E300" s="182"/>
      <c r="F300" s="484">
        <f>F301</f>
        <v>57539542</v>
      </c>
      <c r="G300" s="484">
        <f>G301</f>
        <v>58479970</v>
      </c>
    </row>
    <row r="301" spans="1:7" ht="76.5" customHeight="1">
      <c r="A301" s="12" t="s">
        <v>224</v>
      </c>
      <c r="B301" s="182" t="s">
        <v>527</v>
      </c>
      <c r="C301" s="182" t="s">
        <v>507</v>
      </c>
      <c r="D301" s="186" t="s">
        <v>7</v>
      </c>
      <c r="E301" s="185" t="s">
        <v>85</v>
      </c>
      <c r="F301" s="484">
        <f>F302+F309+F312</f>
        <v>57539542</v>
      </c>
      <c r="G301" s="484">
        <f>G302+G309+G312</f>
        <v>58479970</v>
      </c>
    </row>
    <row r="302" spans="1:7" ht="51">
      <c r="A302" s="29" t="s">
        <v>720</v>
      </c>
      <c r="B302" s="182" t="s">
        <v>527</v>
      </c>
      <c r="C302" s="182" t="s">
        <v>507</v>
      </c>
      <c r="D302" s="182" t="s">
        <v>121</v>
      </c>
      <c r="E302" s="182"/>
      <c r="F302" s="484">
        <f>F303+F305+F307</f>
        <v>47192196</v>
      </c>
      <c r="G302" s="484">
        <f>G303+G305+G307</f>
        <v>50039667</v>
      </c>
    </row>
    <row r="303" spans="1:7" ht="12.75">
      <c r="A303" s="28" t="s">
        <v>528</v>
      </c>
      <c r="B303" s="182" t="s">
        <v>527</v>
      </c>
      <c r="C303" s="182" t="s">
        <v>507</v>
      </c>
      <c r="D303" s="183" t="s">
        <v>721</v>
      </c>
      <c r="E303" s="182"/>
      <c r="F303" s="484">
        <f>F304</f>
        <v>1707915</v>
      </c>
      <c r="G303" s="484">
        <f>G304</f>
        <v>1707915</v>
      </c>
    </row>
    <row r="304" spans="1:7" ht="25.5">
      <c r="A304" s="13" t="s">
        <v>79</v>
      </c>
      <c r="B304" s="182" t="s">
        <v>527</v>
      </c>
      <c r="C304" s="182" t="s">
        <v>507</v>
      </c>
      <c r="D304" s="183" t="s">
        <v>721</v>
      </c>
      <c r="E304" s="182">
        <v>300</v>
      </c>
      <c r="F304" s="485">
        <v>1707915</v>
      </c>
      <c r="G304" s="485">
        <v>1707915</v>
      </c>
    </row>
    <row r="305" spans="1:7" ht="25.5">
      <c r="A305" s="300" t="s">
        <v>484</v>
      </c>
      <c r="B305" s="182" t="s">
        <v>527</v>
      </c>
      <c r="C305" s="182" t="s">
        <v>507</v>
      </c>
      <c r="D305" s="183" t="s">
        <v>485</v>
      </c>
      <c r="E305" s="182"/>
      <c r="F305" s="485">
        <f>F306</f>
        <v>44608300</v>
      </c>
      <c r="G305" s="485">
        <f>G306</f>
        <v>47416182</v>
      </c>
    </row>
    <row r="306" spans="1:7" ht="25.5">
      <c r="A306" s="13" t="s">
        <v>79</v>
      </c>
      <c r="B306" s="182" t="s">
        <v>527</v>
      </c>
      <c r="C306" s="182" t="s">
        <v>507</v>
      </c>
      <c r="D306" s="183" t="s">
        <v>485</v>
      </c>
      <c r="E306" s="182">
        <v>300</v>
      </c>
      <c r="F306" s="485">
        <v>44608300</v>
      </c>
      <c r="G306" s="485">
        <v>47416182</v>
      </c>
    </row>
    <row r="307" spans="1:7" ht="38.25">
      <c r="A307" s="300" t="s">
        <v>486</v>
      </c>
      <c r="B307" s="182" t="s">
        <v>527</v>
      </c>
      <c r="C307" s="182" t="s">
        <v>507</v>
      </c>
      <c r="D307" s="183" t="s">
        <v>487</v>
      </c>
      <c r="E307" s="182"/>
      <c r="F307" s="485">
        <f>F308</f>
        <v>875981</v>
      </c>
      <c r="G307" s="485">
        <f>G308</f>
        <v>915570</v>
      </c>
    </row>
    <row r="308" spans="1:7" ht="38.25">
      <c r="A308" s="13" t="s">
        <v>212</v>
      </c>
      <c r="B308" s="182" t="s">
        <v>527</v>
      </c>
      <c r="C308" s="182" t="s">
        <v>507</v>
      </c>
      <c r="D308" s="183" t="s">
        <v>487</v>
      </c>
      <c r="E308" s="182">
        <v>200</v>
      </c>
      <c r="F308" s="485">
        <v>875981</v>
      </c>
      <c r="G308" s="485">
        <v>915570</v>
      </c>
    </row>
    <row r="309" spans="1:7" ht="64.5" customHeight="1">
      <c r="A309" s="29" t="s">
        <v>122</v>
      </c>
      <c r="B309" s="182" t="s">
        <v>527</v>
      </c>
      <c r="C309" s="182" t="s">
        <v>507</v>
      </c>
      <c r="D309" s="186" t="s">
        <v>722</v>
      </c>
      <c r="E309" s="185"/>
      <c r="F309" s="484">
        <f>F310</f>
        <v>6119254</v>
      </c>
      <c r="G309" s="484">
        <f>G310</f>
        <v>6326257</v>
      </c>
    </row>
    <row r="310" spans="1:7" ht="38.25">
      <c r="A310" s="185" t="s">
        <v>564</v>
      </c>
      <c r="B310" s="182" t="s">
        <v>527</v>
      </c>
      <c r="C310" s="182" t="s">
        <v>507</v>
      </c>
      <c r="D310" s="183" t="s">
        <v>723</v>
      </c>
      <c r="E310" s="182" t="s">
        <v>85</v>
      </c>
      <c r="F310" s="484">
        <f>SUM(F311:F311)</f>
        <v>6119254</v>
      </c>
      <c r="G310" s="484">
        <f>SUM(G311:G311)</f>
        <v>6326257</v>
      </c>
    </row>
    <row r="311" spans="1:7" ht="25.5">
      <c r="A311" s="13" t="s">
        <v>79</v>
      </c>
      <c r="B311" s="182" t="s">
        <v>527</v>
      </c>
      <c r="C311" s="182" t="s">
        <v>507</v>
      </c>
      <c r="D311" s="183" t="s">
        <v>723</v>
      </c>
      <c r="E311" s="182">
        <v>300</v>
      </c>
      <c r="F311" s="485">
        <v>6119254</v>
      </c>
      <c r="G311" s="485">
        <v>6326257</v>
      </c>
    </row>
    <row r="312" spans="1:7" ht="54" customHeight="1">
      <c r="A312" s="377" t="s">
        <v>882</v>
      </c>
      <c r="B312" s="182" t="s">
        <v>527</v>
      </c>
      <c r="C312" s="182" t="s">
        <v>507</v>
      </c>
      <c r="D312" s="128" t="s">
        <v>866</v>
      </c>
      <c r="E312" s="127"/>
      <c r="F312" s="485">
        <f>F313</f>
        <v>4228092</v>
      </c>
      <c r="G312" s="485">
        <f>G313</f>
        <v>2114046</v>
      </c>
    </row>
    <row r="313" spans="1:7" ht="66.75" customHeight="1">
      <c r="A313" s="377" t="s">
        <v>862</v>
      </c>
      <c r="B313" s="182" t="s">
        <v>527</v>
      </c>
      <c r="C313" s="182" t="s">
        <v>507</v>
      </c>
      <c r="D313" s="128" t="s">
        <v>867</v>
      </c>
      <c r="E313" s="127"/>
      <c r="F313" s="485">
        <f>F314</f>
        <v>4228092</v>
      </c>
      <c r="G313" s="485">
        <f>G314</f>
        <v>2114046</v>
      </c>
    </row>
    <row r="314" spans="1:7" ht="38.25">
      <c r="A314" s="377" t="s">
        <v>205</v>
      </c>
      <c r="B314" s="182" t="s">
        <v>527</v>
      </c>
      <c r="C314" s="182" t="s">
        <v>507</v>
      </c>
      <c r="D314" s="128" t="s">
        <v>867</v>
      </c>
      <c r="E314" s="127">
        <v>400</v>
      </c>
      <c r="F314" s="485">
        <v>4228092</v>
      </c>
      <c r="G314" s="485">
        <v>2114046</v>
      </c>
    </row>
    <row r="315" spans="1:7" ht="39.75" customHeight="1">
      <c r="A315" s="198" t="s">
        <v>261</v>
      </c>
      <c r="B315" s="182">
        <v>10</v>
      </c>
      <c r="C315" s="182" t="s">
        <v>507</v>
      </c>
      <c r="D315" s="183" t="s">
        <v>530</v>
      </c>
      <c r="E315" s="182"/>
      <c r="F315" s="484">
        <f aca="true" t="shared" si="20" ref="F315:G317">F316</f>
        <v>5116098</v>
      </c>
      <c r="G315" s="484">
        <f t="shared" si="20"/>
        <v>5116098</v>
      </c>
    </row>
    <row r="316" spans="1:7" ht="51.75" customHeight="1">
      <c r="A316" s="12" t="s">
        <v>262</v>
      </c>
      <c r="B316" s="182">
        <v>10</v>
      </c>
      <c r="C316" s="182" t="s">
        <v>507</v>
      </c>
      <c r="D316" s="186" t="s">
        <v>531</v>
      </c>
      <c r="E316" s="182"/>
      <c r="F316" s="484">
        <f t="shared" si="20"/>
        <v>5116098</v>
      </c>
      <c r="G316" s="484">
        <f t="shared" si="20"/>
        <v>5116098</v>
      </c>
    </row>
    <row r="317" spans="1:7" ht="25.5">
      <c r="A317" s="32" t="s">
        <v>431</v>
      </c>
      <c r="B317" s="182">
        <v>10</v>
      </c>
      <c r="C317" s="182" t="s">
        <v>507</v>
      </c>
      <c r="D317" s="186" t="s">
        <v>128</v>
      </c>
      <c r="E317" s="182"/>
      <c r="F317" s="484">
        <f t="shared" si="20"/>
        <v>5116098</v>
      </c>
      <c r="G317" s="484">
        <f t="shared" si="20"/>
        <v>5116098</v>
      </c>
    </row>
    <row r="318" spans="1:7" ht="25.5">
      <c r="A318" s="13" t="s">
        <v>307</v>
      </c>
      <c r="B318" s="182">
        <v>10</v>
      </c>
      <c r="C318" s="182" t="s">
        <v>507</v>
      </c>
      <c r="D318" s="183" t="s">
        <v>227</v>
      </c>
      <c r="E318" s="182"/>
      <c r="F318" s="484">
        <f>SUM(F319:F320)</f>
        <v>5116098</v>
      </c>
      <c r="G318" s="484">
        <f>SUM(G319:G320)</f>
        <v>5116098</v>
      </c>
    </row>
    <row r="319" spans="1:7" ht="38.25">
      <c r="A319" s="13" t="s">
        <v>212</v>
      </c>
      <c r="B319" s="182">
        <v>10</v>
      </c>
      <c r="C319" s="182" t="s">
        <v>507</v>
      </c>
      <c r="D319" s="183" t="s">
        <v>227</v>
      </c>
      <c r="E319" s="182">
        <v>200</v>
      </c>
      <c r="F319" s="485">
        <v>20382</v>
      </c>
      <c r="G319" s="485">
        <v>20382</v>
      </c>
    </row>
    <row r="320" spans="1:7" ht="25.5">
      <c r="A320" s="13" t="s">
        <v>79</v>
      </c>
      <c r="B320" s="182">
        <v>10</v>
      </c>
      <c r="C320" s="182" t="s">
        <v>507</v>
      </c>
      <c r="D320" s="183" t="s">
        <v>227</v>
      </c>
      <c r="E320" s="182">
        <v>300</v>
      </c>
      <c r="F320" s="485">
        <v>5095716</v>
      </c>
      <c r="G320" s="485">
        <v>5095716</v>
      </c>
    </row>
    <row r="321" spans="1:7" ht="25.5">
      <c r="A321" s="201" t="s">
        <v>546</v>
      </c>
      <c r="B321" s="200" t="s">
        <v>527</v>
      </c>
      <c r="C321" s="200" t="s">
        <v>508</v>
      </c>
      <c r="D321" s="200" t="s">
        <v>85</v>
      </c>
      <c r="E321" s="200" t="s">
        <v>85</v>
      </c>
      <c r="F321" s="484">
        <f>F322+F338</f>
        <v>4776500</v>
      </c>
      <c r="G321" s="484">
        <f>G322+G338</f>
        <v>4776500</v>
      </c>
    </row>
    <row r="322" spans="1:7" ht="38.25">
      <c r="A322" s="198" t="s">
        <v>157</v>
      </c>
      <c r="B322" s="182" t="s">
        <v>527</v>
      </c>
      <c r="C322" s="182" t="s">
        <v>508</v>
      </c>
      <c r="D322" s="183" t="s">
        <v>207</v>
      </c>
      <c r="E322" s="182" t="s">
        <v>85</v>
      </c>
      <c r="F322" s="484">
        <f>F323+F333</f>
        <v>4441800</v>
      </c>
      <c r="G322" s="484">
        <f>G323+G333</f>
        <v>4441800</v>
      </c>
    </row>
    <row r="323" spans="1:7" ht="69.75" customHeight="1">
      <c r="A323" s="12" t="s">
        <v>355</v>
      </c>
      <c r="B323" s="182" t="s">
        <v>527</v>
      </c>
      <c r="C323" s="182" t="s">
        <v>508</v>
      </c>
      <c r="D323" s="186" t="s">
        <v>6</v>
      </c>
      <c r="E323" s="185" t="s">
        <v>85</v>
      </c>
      <c r="F323" s="484">
        <f>F324</f>
        <v>3437700</v>
      </c>
      <c r="G323" s="484">
        <f>G324</f>
        <v>3437700</v>
      </c>
    </row>
    <row r="324" spans="1:7" ht="63.75">
      <c r="A324" s="32" t="s">
        <v>724</v>
      </c>
      <c r="B324" s="182" t="s">
        <v>527</v>
      </c>
      <c r="C324" s="182" t="s">
        <v>508</v>
      </c>
      <c r="D324" s="186" t="s">
        <v>725</v>
      </c>
      <c r="E324" s="185"/>
      <c r="F324" s="484">
        <f>F325+F329</f>
        <v>3437700</v>
      </c>
      <c r="G324" s="484">
        <f>G325+G329</f>
        <v>3437700</v>
      </c>
    </row>
    <row r="325" spans="1:7" ht="38.25">
      <c r="A325" s="185" t="s">
        <v>365</v>
      </c>
      <c r="B325" s="182" t="s">
        <v>527</v>
      </c>
      <c r="C325" s="182" t="s">
        <v>508</v>
      </c>
      <c r="D325" s="186" t="s">
        <v>726</v>
      </c>
      <c r="E325" s="182" t="s">
        <v>85</v>
      </c>
      <c r="F325" s="484">
        <f>SUM(F326:F328)</f>
        <v>2342900</v>
      </c>
      <c r="G325" s="484">
        <f>SUM(G326:G328)</f>
        <v>2342900</v>
      </c>
    </row>
    <row r="326" spans="1:7" ht="79.5" customHeight="1">
      <c r="A326" s="13" t="s">
        <v>698</v>
      </c>
      <c r="B326" s="182" t="s">
        <v>527</v>
      </c>
      <c r="C326" s="182" t="s">
        <v>508</v>
      </c>
      <c r="D326" s="186" t="s">
        <v>726</v>
      </c>
      <c r="E326" s="182">
        <v>100</v>
      </c>
      <c r="F326" s="485">
        <v>2232400</v>
      </c>
      <c r="G326" s="485">
        <v>2232400</v>
      </c>
    </row>
    <row r="327" spans="1:7" ht="38.25">
      <c r="A327" s="13" t="s">
        <v>212</v>
      </c>
      <c r="B327" s="182" t="s">
        <v>527</v>
      </c>
      <c r="C327" s="182" t="s">
        <v>508</v>
      </c>
      <c r="D327" s="186" t="s">
        <v>726</v>
      </c>
      <c r="E327" s="185">
        <v>200</v>
      </c>
      <c r="F327" s="485">
        <v>110000</v>
      </c>
      <c r="G327" s="485">
        <v>110000</v>
      </c>
    </row>
    <row r="328" spans="1:7" ht="12.75">
      <c r="A328" s="13" t="s">
        <v>75</v>
      </c>
      <c r="B328" s="182" t="s">
        <v>527</v>
      </c>
      <c r="C328" s="182" t="s">
        <v>508</v>
      </c>
      <c r="D328" s="186" t="s">
        <v>726</v>
      </c>
      <c r="E328" s="185">
        <v>800</v>
      </c>
      <c r="F328" s="485">
        <v>500</v>
      </c>
      <c r="G328" s="485">
        <v>500</v>
      </c>
    </row>
    <row r="329" spans="1:7" ht="63.75">
      <c r="A329" s="139" t="s">
        <v>673</v>
      </c>
      <c r="B329" s="182" t="s">
        <v>527</v>
      </c>
      <c r="C329" s="182" t="s">
        <v>508</v>
      </c>
      <c r="D329" s="183" t="s">
        <v>317</v>
      </c>
      <c r="E329" s="185"/>
      <c r="F329" s="485">
        <f>F330+F331+F332</f>
        <v>1094800</v>
      </c>
      <c r="G329" s="485">
        <f>G330+G331+G332</f>
        <v>1094800</v>
      </c>
    </row>
    <row r="330" spans="1:7" ht="78" customHeight="1">
      <c r="A330" s="13" t="s">
        <v>698</v>
      </c>
      <c r="B330" s="182" t="s">
        <v>527</v>
      </c>
      <c r="C330" s="182" t="s">
        <v>508</v>
      </c>
      <c r="D330" s="183" t="s">
        <v>317</v>
      </c>
      <c r="E330" s="185">
        <v>100</v>
      </c>
      <c r="F330" s="485">
        <v>982100</v>
      </c>
      <c r="G330" s="485">
        <v>982100</v>
      </c>
    </row>
    <row r="331" spans="1:7" ht="38.25">
      <c r="A331" s="13" t="s">
        <v>212</v>
      </c>
      <c r="B331" s="182" t="s">
        <v>527</v>
      </c>
      <c r="C331" s="182" t="s">
        <v>508</v>
      </c>
      <c r="D331" s="183" t="s">
        <v>317</v>
      </c>
      <c r="E331" s="185">
        <v>200</v>
      </c>
      <c r="F331" s="485">
        <v>112200</v>
      </c>
      <c r="G331" s="485">
        <v>112200</v>
      </c>
    </row>
    <row r="332" spans="1:7" ht="12.75">
      <c r="A332" s="180" t="s">
        <v>75</v>
      </c>
      <c r="B332" s="178" t="s">
        <v>527</v>
      </c>
      <c r="C332" s="178" t="s">
        <v>508</v>
      </c>
      <c r="D332" s="179" t="s">
        <v>317</v>
      </c>
      <c r="E332" s="204">
        <v>800</v>
      </c>
      <c r="F332" s="489">
        <v>500</v>
      </c>
      <c r="G332" s="489">
        <v>500</v>
      </c>
    </row>
    <row r="333" spans="1:7" ht="74.25" customHeight="1">
      <c r="A333" s="12" t="s">
        <v>167</v>
      </c>
      <c r="B333" s="182" t="s">
        <v>527</v>
      </c>
      <c r="C333" s="182" t="s">
        <v>508</v>
      </c>
      <c r="D333" s="182" t="s">
        <v>7</v>
      </c>
      <c r="E333" s="185" t="s">
        <v>85</v>
      </c>
      <c r="F333" s="484">
        <f>F334</f>
        <v>1004100</v>
      </c>
      <c r="G333" s="484">
        <f>G334</f>
        <v>1004100</v>
      </c>
    </row>
    <row r="334" spans="1:7" ht="53.25" customHeight="1">
      <c r="A334" s="13" t="s">
        <v>561</v>
      </c>
      <c r="B334" s="182" t="s">
        <v>527</v>
      </c>
      <c r="C334" s="182" t="s">
        <v>508</v>
      </c>
      <c r="D334" s="182" t="s">
        <v>568</v>
      </c>
      <c r="E334" s="185"/>
      <c r="F334" s="484">
        <f>F335</f>
        <v>1004100</v>
      </c>
      <c r="G334" s="484">
        <f>G335</f>
        <v>1004100</v>
      </c>
    </row>
    <row r="335" spans="1:7" ht="54.75" customHeight="1">
      <c r="A335" s="185" t="s">
        <v>266</v>
      </c>
      <c r="B335" s="182" t="s">
        <v>527</v>
      </c>
      <c r="C335" s="182" t="s">
        <v>508</v>
      </c>
      <c r="D335" s="183" t="s">
        <v>426</v>
      </c>
      <c r="E335" s="182"/>
      <c r="F335" s="484">
        <f>SUM(F336:F337)</f>
        <v>1004100</v>
      </c>
      <c r="G335" s="484">
        <f>SUM(G336:G337)</f>
        <v>1004100</v>
      </c>
    </row>
    <row r="336" spans="1:7" ht="77.25" customHeight="1">
      <c r="A336" s="13" t="s">
        <v>698</v>
      </c>
      <c r="B336" s="182" t="s">
        <v>527</v>
      </c>
      <c r="C336" s="182" t="s">
        <v>508</v>
      </c>
      <c r="D336" s="183" t="s">
        <v>426</v>
      </c>
      <c r="E336" s="182">
        <v>100</v>
      </c>
      <c r="F336" s="487">
        <v>967900</v>
      </c>
      <c r="G336" s="487">
        <v>967900</v>
      </c>
    </row>
    <row r="337" spans="1:7" ht="38.25">
      <c r="A337" s="13" t="s">
        <v>212</v>
      </c>
      <c r="B337" s="182" t="s">
        <v>527</v>
      </c>
      <c r="C337" s="182" t="s">
        <v>508</v>
      </c>
      <c r="D337" s="183" t="s">
        <v>426</v>
      </c>
      <c r="E337" s="182" t="s">
        <v>72</v>
      </c>
      <c r="F337" s="487">
        <v>36200</v>
      </c>
      <c r="G337" s="487">
        <v>36200</v>
      </c>
    </row>
    <row r="338" spans="1:7" ht="76.5">
      <c r="A338" s="198" t="s">
        <v>280</v>
      </c>
      <c r="B338" s="182" t="s">
        <v>527</v>
      </c>
      <c r="C338" s="182" t="s">
        <v>508</v>
      </c>
      <c r="D338" s="182" t="s">
        <v>12</v>
      </c>
      <c r="E338" s="182"/>
      <c r="F338" s="484">
        <f aca="true" t="shared" si="21" ref="F338:G340">F339</f>
        <v>334700</v>
      </c>
      <c r="G338" s="484">
        <f t="shared" si="21"/>
        <v>334700</v>
      </c>
    </row>
    <row r="339" spans="1:7" ht="90.75" customHeight="1">
      <c r="A339" s="355" t="s">
        <v>281</v>
      </c>
      <c r="B339" s="182" t="s">
        <v>527</v>
      </c>
      <c r="C339" s="182" t="s">
        <v>508</v>
      </c>
      <c r="D339" s="182" t="s">
        <v>13</v>
      </c>
      <c r="E339" s="182"/>
      <c r="F339" s="484">
        <f t="shared" si="21"/>
        <v>334700</v>
      </c>
      <c r="G339" s="484">
        <f t="shared" si="21"/>
        <v>334700</v>
      </c>
    </row>
    <row r="340" spans="1:7" ht="38.25">
      <c r="A340" s="13" t="s">
        <v>270</v>
      </c>
      <c r="B340" s="182" t="s">
        <v>527</v>
      </c>
      <c r="C340" s="182" t="s">
        <v>508</v>
      </c>
      <c r="D340" s="182" t="s">
        <v>259</v>
      </c>
      <c r="E340" s="182"/>
      <c r="F340" s="484">
        <f t="shared" si="21"/>
        <v>334700</v>
      </c>
      <c r="G340" s="484">
        <f t="shared" si="21"/>
        <v>334700</v>
      </c>
    </row>
    <row r="341" spans="1:7" ht="63.75">
      <c r="A341" s="13" t="s">
        <v>106</v>
      </c>
      <c r="B341" s="182" t="s">
        <v>527</v>
      </c>
      <c r="C341" s="182" t="s">
        <v>508</v>
      </c>
      <c r="D341" s="182" t="s">
        <v>271</v>
      </c>
      <c r="E341" s="182"/>
      <c r="F341" s="484">
        <f>SUM(F342:F342)</f>
        <v>334700</v>
      </c>
      <c r="G341" s="484">
        <f>SUM(G342:G342)</f>
        <v>334700</v>
      </c>
    </row>
    <row r="342" spans="1:7" ht="79.5" customHeight="1">
      <c r="A342" s="13" t="s">
        <v>698</v>
      </c>
      <c r="B342" s="182" t="s">
        <v>527</v>
      </c>
      <c r="C342" s="182" t="s">
        <v>508</v>
      </c>
      <c r="D342" s="182" t="s">
        <v>271</v>
      </c>
      <c r="E342" s="182">
        <v>100</v>
      </c>
      <c r="F342" s="487">
        <v>334700</v>
      </c>
      <c r="G342" s="487">
        <v>334700</v>
      </c>
    </row>
    <row r="343" spans="1:7" ht="12.75">
      <c r="A343" s="161" t="s">
        <v>226</v>
      </c>
      <c r="B343" s="159" t="s">
        <v>510</v>
      </c>
      <c r="C343" s="203" t="s">
        <v>436</v>
      </c>
      <c r="D343" s="159" t="s">
        <v>85</v>
      </c>
      <c r="E343" s="159" t="s">
        <v>85</v>
      </c>
      <c r="F343" s="491">
        <f>F344</f>
        <v>50000</v>
      </c>
      <c r="G343" s="491">
        <f>G344</f>
        <v>46935</v>
      </c>
    </row>
    <row r="344" spans="1:7" ht="12.75">
      <c r="A344" s="201" t="s">
        <v>414</v>
      </c>
      <c r="B344" s="200" t="s">
        <v>510</v>
      </c>
      <c r="C344" s="200" t="s">
        <v>506</v>
      </c>
      <c r="D344" s="200" t="s">
        <v>85</v>
      </c>
      <c r="E344" s="200" t="s">
        <v>85</v>
      </c>
      <c r="F344" s="484">
        <f>F345</f>
        <v>50000</v>
      </c>
      <c r="G344" s="484">
        <f>G345</f>
        <v>46935</v>
      </c>
    </row>
    <row r="345" spans="1:7" ht="66" customHeight="1">
      <c r="A345" s="198" t="s">
        <v>413</v>
      </c>
      <c r="B345" s="182" t="s">
        <v>510</v>
      </c>
      <c r="C345" s="182" t="s">
        <v>506</v>
      </c>
      <c r="D345" s="183" t="s">
        <v>412</v>
      </c>
      <c r="E345" s="196" t="s">
        <v>85</v>
      </c>
      <c r="F345" s="484">
        <f aca="true" t="shared" si="22" ref="F345:G348">F346</f>
        <v>50000</v>
      </c>
      <c r="G345" s="484">
        <f t="shared" si="22"/>
        <v>46935</v>
      </c>
    </row>
    <row r="346" spans="1:7" ht="92.25" customHeight="1">
      <c r="A346" s="12" t="s">
        <v>411</v>
      </c>
      <c r="B346" s="182" t="s">
        <v>510</v>
      </c>
      <c r="C346" s="182" t="s">
        <v>506</v>
      </c>
      <c r="D346" s="183" t="s">
        <v>232</v>
      </c>
      <c r="E346" s="197" t="s">
        <v>85</v>
      </c>
      <c r="F346" s="484">
        <f t="shared" si="22"/>
        <v>50000</v>
      </c>
      <c r="G346" s="484">
        <f t="shared" si="22"/>
        <v>46935</v>
      </c>
    </row>
    <row r="347" spans="1:7" ht="76.5">
      <c r="A347" s="33" t="s">
        <v>231</v>
      </c>
      <c r="B347" s="182" t="s">
        <v>510</v>
      </c>
      <c r="C347" s="182" t="s">
        <v>506</v>
      </c>
      <c r="D347" s="183" t="s">
        <v>230</v>
      </c>
      <c r="E347" s="197"/>
      <c r="F347" s="484">
        <f t="shared" si="22"/>
        <v>50000</v>
      </c>
      <c r="G347" s="484">
        <f t="shared" si="22"/>
        <v>46935</v>
      </c>
    </row>
    <row r="348" spans="1:7" ht="65.25" customHeight="1">
      <c r="A348" s="33" t="s">
        <v>229</v>
      </c>
      <c r="B348" s="182" t="s">
        <v>510</v>
      </c>
      <c r="C348" s="182" t="s">
        <v>506</v>
      </c>
      <c r="D348" s="183" t="s">
        <v>228</v>
      </c>
      <c r="E348" s="197"/>
      <c r="F348" s="484">
        <f t="shared" si="22"/>
        <v>50000</v>
      </c>
      <c r="G348" s="484">
        <f t="shared" si="22"/>
        <v>46935</v>
      </c>
    </row>
    <row r="349" spans="1:7" ht="38.25">
      <c r="A349" s="180" t="s">
        <v>212</v>
      </c>
      <c r="B349" s="178" t="s">
        <v>510</v>
      </c>
      <c r="C349" s="178" t="s">
        <v>506</v>
      </c>
      <c r="D349" s="179" t="s">
        <v>228</v>
      </c>
      <c r="E349" s="204">
        <v>200</v>
      </c>
      <c r="F349" s="489">
        <v>50000</v>
      </c>
      <c r="G349" s="489">
        <v>46935</v>
      </c>
    </row>
    <row r="350" spans="1:7" ht="25.5">
      <c r="A350" s="161" t="s">
        <v>73</v>
      </c>
      <c r="B350" s="159" t="s">
        <v>98</v>
      </c>
      <c r="C350" s="203" t="s">
        <v>436</v>
      </c>
      <c r="D350" s="159" t="s">
        <v>85</v>
      </c>
      <c r="E350" s="159" t="s">
        <v>85</v>
      </c>
      <c r="F350" s="491">
        <f aca="true" t="shared" si="23" ref="F350:G355">F351</f>
        <v>55000</v>
      </c>
      <c r="G350" s="491">
        <f t="shared" si="23"/>
        <v>51628</v>
      </c>
    </row>
    <row r="351" spans="1:7" ht="25.5">
      <c r="A351" s="201" t="s">
        <v>74</v>
      </c>
      <c r="B351" s="200" t="s">
        <v>98</v>
      </c>
      <c r="C351" s="200" t="s">
        <v>504</v>
      </c>
      <c r="D351" s="199" t="s">
        <v>85</v>
      </c>
      <c r="E351" s="199" t="s">
        <v>85</v>
      </c>
      <c r="F351" s="484">
        <f t="shared" si="23"/>
        <v>55000</v>
      </c>
      <c r="G351" s="484">
        <f t="shared" si="23"/>
        <v>51628</v>
      </c>
    </row>
    <row r="352" spans="1:7" ht="38.25">
      <c r="A352" s="198" t="s">
        <v>166</v>
      </c>
      <c r="B352" s="182" t="s">
        <v>98</v>
      </c>
      <c r="C352" s="182" t="s">
        <v>504</v>
      </c>
      <c r="D352" s="183" t="s">
        <v>656</v>
      </c>
      <c r="E352" s="196" t="s">
        <v>85</v>
      </c>
      <c r="F352" s="484">
        <f t="shared" si="23"/>
        <v>55000</v>
      </c>
      <c r="G352" s="484">
        <f t="shared" si="23"/>
        <v>51628</v>
      </c>
    </row>
    <row r="353" spans="1:7" ht="57" customHeight="1">
      <c r="A353" s="12" t="s">
        <v>366</v>
      </c>
      <c r="B353" s="182" t="s">
        <v>98</v>
      </c>
      <c r="C353" s="182" t="s">
        <v>504</v>
      </c>
      <c r="D353" s="183" t="s">
        <v>116</v>
      </c>
      <c r="E353" s="197" t="s">
        <v>85</v>
      </c>
      <c r="F353" s="484">
        <f t="shared" si="23"/>
        <v>55000</v>
      </c>
      <c r="G353" s="484">
        <f t="shared" si="23"/>
        <v>51628</v>
      </c>
    </row>
    <row r="354" spans="1:7" ht="63.75">
      <c r="A354" s="28" t="s">
        <v>115</v>
      </c>
      <c r="B354" s="182" t="s">
        <v>98</v>
      </c>
      <c r="C354" s="182" t="s">
        <v>504</v>
      </c>
      <c r="D354" s="183" t="s">
        <v>117</v>
      </c>
      <c r="E354" s="197"/>
      <c r="F354" s="484">
        <f t="shared" si="23"/>
        <v>55000</v>
      </c>
      <c r="G354" s="484">
        <f t="shared" si="23"/>
        <v>51628</v>
      </c>
    </row>
    <row r="355" spans="1:7" ht="12.75">
      <c r="A355" s="33" t="s">
        <v>118</v>
      </c>
      <c r="B355" s="182" t="s">
        <v>98</v>
      </c>
      <c r="C355" s="182" t="s">
        <v>504</v>
      </c>
      <c r="D355" s="183" t="s">
        <v>119</v>
      </c>
      <c r="E355" s="196" t="s">
        <v>85</v>
      </c>
      <c r="F355" s="484">
        <f t="shared" si="23"/>
        <v>55000</v>
      </c>
      <c r="G355" s="484">
        <f t="shared" si="23"/>
        <v>51628</v>
      </c>
    </row>
    <row r="356" spans="1:7" ht="25.5">
      <c r="A356" s="224" t="s">
        <v>467</v>
      </c>
      <c r="B356" s="301" t="s">
        <v>98</v>
      </c>
      <c r="C356" s="301" t="s">
        <v>504</v>
      </c>
      <c r="D356" s="302" t="s">
        <v>119</v>
      </c>
      <c r="E356" s="301" t="s">
        <v>80</v>
      </c>
      <c r="F356" s="492">
        <v>55000</v>
      </c>
      <c r="G356" s="492">
        <v>51628</v>
      </c>
    </row>
    <row r="357" spans="1:7" ht="12.75">
      <c r="A357" s="303" t="s">
        <v>727</v>
      </c>
      <c r="B357" s="304"/>
      <c r="C357" s="304"/>
      <c r="D357" s="305"/>
      <c r="E357" s="306"/>
      <c r="F357" s="493">
        <v>4301916</v>
      </c>
      <c r="G357" s="493">
        <f>9468328+353755</f>
        <v>9822083</v>
      </c>
    </row>
  </sheetData>
  <sheetProtection/>
  <mergeCells count="1">
    <mergeCell ref="A3:G3"/>
  </mergeCells>
  <printOptions/>
  <pageMargins left="0.7086614173228347" right="0.7086614173228347" top="0.7480314960629921" bottom="0.3937007874015748" header="0.31496062992125984" footer="0.31496062992125984"/>
  <pageSetup fitToHeight="0" fitToWidth="1" horizontalDpi="600" verticalDpi="6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9999"/>
  </sheetPr>
  <dimension ref="A1:J467"/>
  <sheetViews>
    <sheetView showGridLines="0" zoomScaleSheetLayoutView="100" zoomScalePageLayoutView="0" workbookViewId="0" topLeftCell="A366">
      <selection activeCell="G458" sqref="G458"/>
    </sheetView>
  </sheetViews>
  <sheetFormatPr defaultColWidth="9.140625" defaultRowHeight="12.75"/>
  <cols>
    <col min="1" max="1" width="48.140625" style="120" customWidth="1"/>
    <col min="2" max="2" width="5.140625" style="120" customWidth="1"/>
    <col min="3" max="4" width="3.8515625" style="120" customWidth="1"/>
    <col min="5" max="5" width="13.28125" style="120" customWidth="1"/>
    <col min="6" max="6" width="4.57421875" style="120" customWidth="1"/>
    <col min="7" max="7" width="14.421875" style="121" customWidth="1"/>
    <col min="8" max="8" width="10.8515625" style="176" customWidth="1"/>
    <col min="9" max="16384" width="9.140625" style="120" customWidth="1"/>
  </cols>
  <sheetData>
    <row r="1" spans="1:8" ht="12.75">
      <c r="A1" s="174"/>
      <c r="B1" s="239"/>
      <c r="C1" s="237"/>
      <c r="D1" s="237"/>
      <c r="E1" s="237"/>
      <c r="F1" s="237"/>
      <c r="G1" s="175" t="s">
        <v>342</v>
      </c>
      <c r="H1" s="120"/>
    </row>
    <row r="2" spans="1:8" ht="12.75">
      <c r="A2" s="174"/>
      <c r="B2" s="239"/>
      <c r="C2" s="237"/>
      <c r="D2" s="237"/>
      <c r="E2" s="237"/>
      <c r="F2" s="237"/>
      <c r="G2" s="35" t="s">
        <v>247</v>
      </c>
      <c r="H2" s="120"/>
    </row>
    <row r="3" spans="1:8" ht="12.75">
      <c r="A3" s="174"/>
      <c r="B3" s="514" t="s">
        <v>984</v>
      </c>
      <c r="C3" s="515"/>
      <c r="D3" s="515"/>
      <c r="E3" s="515"/>
      <c r="F3" s="515"/>
      <c r="G3" s="515"/>
      <c r="H3" s="120"/>
    </row>
    <row r="4" spans="1:8" ht="12.75">
      <c r="A4" s="173"/>
      <c r="B4" s="238"/>
      <c r="C4" s="237"/>
      <c r="D4" s="237"/>
      <c r="E4" s="237"/>
      <c r="F4" s="237"/>
      <c r="G4" s="412"/>
      <c r="H4" s="120"/>
    </row>
    <row r="5" spans="1:8" ht="12.75">
      <c r="A5" s="171" t="s">
        <v>868</v>
      </c>
      <c r="B5" s="236"/>
      <c r="C5" s="236"/>
      <c r="D5" s="236"/>
      <c r="E5" s="236"/>
      <c r="F5" s="236"/>
      <c r="G5" s="170"/>
      <c r="H5" s="120"/>
    </row>
    <row r="6" spans="1:8" ht="12.75">
      <c r="A6" s="169"/>
      <c r="B6" s="235"/>
      <c r="C6" s="235"/>
      <c r="D6" s="235"/>
      <c r="E6" s="235"/>
      <c r="F6" s="235"/>
      <c r="G6" s="168" t="s">
        <v>86</v>
      </c>
      <c r="H6" s="120"/>
    </row>
    <row r="7" spans="1:8" ht="12.75">
      <c r="A7" s="234" t="s">
        <v>82</v>
      </c>
      <c r="B7" s="233" t="s">
        <v>103</v>
      </c>
      <c r="C7" s="233" t="s">
        <v>497</v>
      </c>
      <c r="D7" s="233" t="s">
        <v>498</v>
      </c>
      <c r="E7" s="233" t="s">
        <v>499</v>
      </c>
      <c r="F7" s="233" t="s">
        <v>500</v>
      </c>
      <c r="G7" s="413" t="s">
        <v>274</v>
      </c>
      <c r="H7" s="120"/>
    </row>
    <row r="8" spans="1:8" ht="12.75">
      <c r="A8" s="166" t="s">
        <v>70</v>
      </c>
      <c r="B8" s="166"/>
      <c r="C8" s="166" t="s">
        <v>83</v>
      </c>
      <c r="D8" s="166" t="s">
        <v>71</v>
      </c>
      <c r="E8" s="166" t="s">
        <v>501</v>
      </c>
      <c r="F8" s="166" t="s">
        <v>502</v>
      </c>
      <c r="G8" s="165" t="s">
        <v>503</v>
      </c>
      <c r="H8" s="232"/>
    </row>
    <row r="9" spans="1:10" ht="12.75">
      <c r="A9" s="164" t="s">
        <v>87</v>
      </c>
      <c r="B9" s="164"/>
      <c r="C9" s="163" t="s">
        <v>85</v>
      </c>
      <c r="D9" s="163" t="s">
        <v>85</v>
      </c>
      <c r="E9" s="163" t="s">
        <v>85</v>
      </c>
      <c r="F9" s="163" t="s">
        <v>85</v>
      </c>
      <c r="G9" s="162">
        <f>G10+G209+G369+G459</f>
        <v>749239034.1</v>
      </c>
      <c r="H9" s="66"/>
      <c r="I9" s="66"/>
      <c r="J9" s="66"/>
    </row>
    <row r="10" spans="1:7" ht="12.75">
      <c r="A10" s="195" t="s">
        <v>308</v>
      </c>
      <c r="B10" s="231" t="s">
        <v>547</v>
      </c>
      <c r="C10" s="119"/>
      <c r="D10" s="119"/>
      <c r="E10" s="119"/>
      <c r="F10" s="119"/>
      <c r="G10" s="230">
        <f>G11+G83+G89+G103+G146+G215+G313+G330+G336+G362</f>
        <v>679115318.1</v>
      </c>
    </row>
    <row r="11" spans="1:7" ht="12.75">
      <c r="A11" s="161" t="s">
        <v>566</v>
      </c>
      <c r="B11" s="161"/>
      <c r="C11" s="159" t="s">
        <v>504</v>
      </c>
      <c r="D11" s="160" t="s">
        <v>436</v>
      </c>
      <c r="E11" s="159" t="s">
        <v>85</v>
      </c>
      <c r="F11" s="159" t="s">
        <v>85</v>
      </c>
      <c r="G11" s="158">
        <f>G12+G17+G34+G39+G24+G29</f>
        <v>48337780.5</v>
      </c>
    </row>
    <row r="12" spans="1:8" ht="38.25">
      <c r="A12" s="201" t="s">
        <v>505</v>
      </c>
      <c r="B12" s="201"/>
      <c r="C12" s="200" t="s">
        <v>504</v>
      </c>
      <c r="D12" s="200" t="s">
        <v>506</v>
      </c>
      <c r="E12" s="200" t="s">
        <v>85</v>
      </c>
      <c r="F12" s="200" t="s">
        <v>85</v>
      </c>
      <c r="G12" s="184">
        <f>G13</f>
        <v>359440</v>
      </c>
      <c r="H12" s="120"/>
    </row>
    <row r="13" spans="1:8" ht="25.5">
      <c r="A13" s="13" t="s">
        <v>556</v>
      </c>
      <c r="B13" s="13"/>
      <c r="C13" s="182" t="s">
        <v>504</v>
      </c>
      <c r="D13" s="182" t="s">
        <v>506</v>
      </c>
      <c r="E13" s="182" t="s">
        <v>649</v>
      </c>
      <c r="F13" s="182" t="s">
        <v>85</v>
      </c>
      <c r="G13" s="184">
        <f>G14</f>
        <v>359440</v>
      </c>
      <c r="H13" s="120"/>
    </row>
    <row r="14" spans="1:8" ht="12.75">
      <c r="A14" s="13" t="s">
        <v>341</v>
      </c>
      <c r="B14" s="13"/>
      <c r="C14" s="182" t="s">
        <v>504</v>
      </c>
      <c r="D14" s="182" t="s">
        <v>506</v>
      </c>
      <c r="E14" s="182" t="s">
        <v>650</v>
      </c>
      <c r="F14" s="185" t="s">
        <v>85</v>
      </c>
      <c r="G14" s="184">
        <f>G15</f>
        <v>359440</v>
      </c>
      <c r="H14" s="120"/>
    </row>
    <row r="15" spans="1:8" ht="25.5">
      <c r="A15" s="185" t="s">
        <v>694</v>
      </c>
      <c r="B15" s="185"/>
      <c r="C15" s="182" t="s">
        <v>504</v>
      </c>
      <c r="D15" s="182" t="s">
        <v>506</v>
      </c>
      <c r="E15" s="182" t="s">
        <v>651</v>
      </c>
      <c r="F15" s="182" t="s">
        <v>85</v>
      </c>
      <c r="G15" s="184">
        <f>G16</f>
        <v>359440</v>
      </c>
      <c r="H15" s="120"/>
    </row>
    <row r="16" spans="1:8" ht="63.75">
      <c r="A16" s="13" t="s">
        <v>698</v>
      </c>
      <c r="B16" s="13"/>
      <c r="C16" s="182" t="s">
        <v>504</v>
      </c>
      <c r="D16" s="182" t="s">
        <v>506</v>
      </c>
      <c r="E16" s="182" t="s">
        <v>651</v>
      </c>
      <c r="F16" s="182" t="s">
        <v>565</v>
      </c>
      <c r="G16" s="181">
        <f>363778-4338</f>
        <v>359440</v>
      </c>
      <c r="H16" s="120"/>
    </row>
    <row r="17" spans="1:8" ht="51">
      <c r="A17" s="201" t="s">
        <v>684</v>
      </c>
      <c r="B17" s="201"/>
      <c r="C17" s="200" t="s">
        <v>504</v>
      </c>
      <c r="D17" s="200" t="s">
        <v>507</v>
      </c>
      <c r="E17" s="200" t="s">
        <v>85</v>
      </c>
      <c r="F17" s="200" t="s">
        <v>85</v>
      </c>
      <c r="G17" s="184">
        <f>G18</f>
        <v>13489682</v>
      </c>
      <c r="H17" s="120"/>
    </row>
    <row r="18" spans="1:8" ht="25.5">
      <c r="A18" s="13" t="s">
        <v>443</v>
      </c>
      <c r="B18" s="13"/>
      <c r="C18" s="182" t="s">
        <v>504</v>
      </c>
      <c r="D18" s="182" t="s">
        <v>507</v>
      </c>
      <c r="E18" s="182" t="s">
        <v>652</v>
      </c>
      <c r="F18" s="182" t="s">
        <v>85</v>
      </c>
      <c r="G18" s="184">
        <f>G19</f>
        <v>13489682</v>
      </c>
      <c r="H18" s="120"/>
    </row>
    <row r="19" spans="1:8" ht="25.5">
      <c r="A19" s="13" t="s">
        <v>447</v>
      </c>
      <c r="B19" s="13"/>
      <c r="C19" s="182" t="s">
        <v>504</v>
      </c>
      <c r="D19" s="182" t="s">
        <v>507</v>
      </c>
      <c r="E19" s="182" t="s">
        <v>653</v>
      </c>
      <c r="F19" s="185" t="s">
        <v>85</v>
      </c>
      <c r="G19" s="184">
        <f>G20</f>
        <v>13489682</v>
      </c>
      <c r="H19" s="120"/>
    </row>
    <row r="20" spans="1:8" ht="25.5">
      <c r="A20" s="185" t="s">
        <v>694</v>
      </c>
      <c r="B20" s="185"/>
      <c r="C20" s="182" t="s">
        <v>504</v>
      </c>
      <c r="D20" s="182" t="s">
        <v>507</v>
      </c>
      <c r="E20" s="182" t="s">
        <v>655</v>
      </c>
      <c r="F20" s="182" t="s">
        <v>85</v>
      </c>
      <c r="G20" s="184">
        <f>SUM(G21:G23)</f>
        <v>13489682</v>
      </c>
      <c r="H20" s="120"/>
    </row>
    <row r="21" spans="1:8" ht="63.75">
      <c r="A21" s="13" t="s">
        <v>698</v>
      </c>
      <c r="B21" s="13"/>
      <c r="C21" s="182" t="s">
        <v>504</v>
      </c>
      <c r="D21" s="182" t="s">
        <v>507</v>
      </c>
      <c r="E21" s="182" t="s">
        <v>655</v>
      </c>
      <c r="F21" s="182">
        <v>100</v>
      </c>
      <c r="G21" s="181">
        <v>12212368</v>
      </c>
      <c r="H21" s="120"/>
    </row>
    <row r="22" spans="1:8" ht="25.5">
      <c r="A22" s="13" t="s">
        <v>212</v>
      </c>
      <c r="B22" s="13"/>
      <c r="C22" s="182" t="s">
        <v>504</v>
      </c>
      <c r="D22" s="182" t="s">
        <v>507</v>
      </c>
      <c r="E22" s="182" t="s">
        <v>655</v>
      </c>
      <c r="F22" s="182">
        <v>200</v>
      </c>
      <c r="G22" s="181">
        <v>1153128</v>
      </c>
      <c r="H22" s="120"/>
    </row>
    <row r="23" spans="1:8" ht="12.75">
      <c r="A23" s="13" t="s">
        <v>75</v>
      </c>
      <c r="B23" s="13"/>
      <c r="C23" s="182" t="s">
        <v>504</v>
      </c>
      <c r="D23" s="182" t="s">
        <v>507</v>
      </c>
      <c r="E23" s="182" t="s">
        <v>655</v>
      </c>
      <c r="F23" s="182">
        <v>800</v>
      </c>
      <c r="G23" s="181">
        <f>123186+1000</f>
        <v>124186</v>
      </c>
      <c r="H23" s="120"/>
    </row>
    <row r="24" spans="1:8" ht="12.75">
      <c r="A24" s="292" t="s">
        <v>829</v>
      </c>
      <c r="B24" s="13"/>
      <c r="C24" s="127" t="s">
        <v>504</v>
      </c>
      <c r="D24" s="144" t="s">
        <v>620</v>
      </c>
      <c r="E24" s="127"/>
      <c r="F24" s="127"/>
      <c r="G24" s="181">
        <f>G25</f>
        <v>41201</v>
      </c>
      <c r="H24" s="120"/>
    </row>
    <row r="25" spans="1:8" ht="25.5">
      <c r="A25" s="293" t="s">
        <v>593</v>
      </c>
      <c r="B25" s="13"/>
      <c r="C25" s="127" t="s">
        <v>504</v>
      </c>
      <c r="D25" s="144" t="s">
        <v>620</v>
      </c>
      <c r="E25" s="149" t="s">
        <v>14</v>
      </c>
      <c r="F25" s="148"/>
      <c r="G25" s="181">
        <f>G26</f>
        <v>41201</v>
      </c>
      <c r="H25" s="120"/>
    </row>
    <row r="26" spans="1:8" ht="25.5">
      <c r="A26" s="294" t="s">
        <v>603</v>
      </c>
      <c r="B26" s="13"/>
      <c r="C26" s="127" t="s">
        <v>504</v>
      </c>
      <c r="D26" s="144" t="s">
        <v>620</v>
      </c>
      <c r="E26" s="149" t="s">
        <v>16</v>
      </c>
      <c r="F26" s="148"/>
      <c r="G26" s="181">
        <f>G27</f>
        <v>41201</v>
      </c>
      <c r="H26" s="120"/>
    </row>
    <row r="27" spans="1:8" ht="51">
      <c r="A27" s="294" t="s">
        <v>830</v>
      </c>
      <c r="B27" s="13"/>
      <c r="C27" s="127" t="s">
        <v>504</v>
      </c>
      <c r="D27" s="144" t="s">
        <v>620</v>
      </c>
      <c r="E27" s="149" t="s">
        <v>831</v>
      </c>
      <c r="F27" s="148"/>
      <c r="G27" s="181">
        <f>G28</f>
        <v>41201</v>
      </c>
      <c r="H27" s="120"/>
    </row>
    <row r="28" spans="1:8" ht="25.5">
      <c r="A28" s="292" t="s">
        <v>212</v>
      </c>
      <c r="B28" s="13"/>
      <c r="C28" s="127" t="s">
        <v>504</v>
      </c>
      <c r="D28" s="144" t="s">
        <v>620</v>
      </c>
      <c r="E28" s="149" t="s">
        <v>831</v>
      </c>
      <c r="F28" s="148">
        <v>200</v>
      </c>
      <c r="G28" s="181">
        <v>41201</v>
      </c>
      <c r="H28" s="120"/>
    </row>
    <row r="29" spans="1:8" ht="12.75">
      <c r="A29" s="139" t="s">
        <v>889</v>
      </c>
      <c r="B29" s="13"/>
      <c r="C29" s="127" t="s">
        <v>504</v>
      </c>
      <c r="D29" s="127" t="s">
        <v>621</v>
      </c>
      <c r="E29" s="128"/>
      <c r="F29" s="127"/>
      <c r="G29" s="138">
        <f>G30</f>
        <v>1130750</v>
      </c>
      <c r="H29" s="120"/>
    </row>
    <row r="30" spans="1:8" ht="25.5">
      <c r="A30" s="139" t="s">
        <v>593</v>
      </c>
      <c r="B30" s="13"/>
      <c r="C30" s="127" t="s">
        <v>504</v>
      </c>
      <c r="D30" s="127" t="s">
        <v>621</v>
      </c>
      <c r="E30" s="128" t="s">
        <v>891</v>
      </c>
      <c r="F30" s="127"/>
      <c r="G30" s="138">
        <f>G31</f>
        <v>1130750</v>
      </c>
      <c r="H30" s="120"/>
    </row>
    <row r="31" spans="1:8" ht="16.5" customHeight="1">
      <c r="A31" s="139" t="s">
        <v>890</v>
      </c>
      <c r="B31" s="13"/>
      <c r="C31" s="127" t="s">
        <v>504</v>
      </c>
      <c r="D31" s="127" t="s">
        <v>621</v>
      </c>
      <c r="E31" s="128" t="s">
        <v>892</v>
      </c>
      <c r="F31" s="127"/>
      <c r="G31" s="138">
        <f>G32</f>
        <v>1130750</v>
      </c>
      <c r="H31" s="120"/>
    </row>
    <row r="32" spans="1:8" ht="12.75">
      <c r="A32" s="398" t="s">
        <v>917</v>
      </c>
      <c r="B32" s="13"/>
      <c r="C32" s="127" t="s">
        <v>504</v>
      </c>
      <c r="D32" s="127" t="s">
        <v>621</v>
      </c>
      <c r="E32" s="128" t="s">
        <v>893</v>
      </c>
      <c r="F32" s="127"/>
      <c r="G32" s="138">
        <f>G33</f>
        <v>1130750</v>
      </c>
      <c r="H32" s="120"/>
    </row>
    <row r="33" spans="1:8" ht="25.5">
      <c r="A33" s="139" t="s">
        <v>148</v>
      </c>
      <c r="B33" s="13"/>
      <c r="C33" s="127" t="s">
        <v>504</v>
      </c>
      <c r="D33" s="127" t="s">
        <v>621</v>
      </c>
      <c r="E33" s="128" t="s">
        <v>893</v>
      </c>
      <c r="F33" s="127">
        <v>800</v>
      </c>
      <c r="G33" s="138">
        <v>1130750</v>
      </c>
      <c r="H33" s="120"/>
    </row>
    <row r="34" spans="1:8" ht="12.75">
      <c r="A34" s="201" t="s">
        <v>509</v>
      </c>
      <c r="B34" s="201"/>
      <c r="C34" s="200" t="s">
        <v>504</v>
      </c>
      <c r="D34" s="200" t="s">
        <v>510</v>
      </c>
      <c r="E34" s="200" t="s">
        <v>85</v>
      </c>
      <c r="F34" s="200" t="s">
        <v>85</v>
      </c>
      <c r="G34" s="184">
        <f>G35</f>
        <v>300000</v>
      </c>
      <c r="H34" s="120"/>
    </row>
    <row r="35" spans="1:8" ht="25.5">
      <c r="A35" s="13" t="s">
        <v>169</v>
      </c>
      <c r="B35" s="13"/>
      <c r="C35" s="182" t="s">
        <v>504</v>
      </c>
      <c r="D35" s="182" t="s">
        <v>510</v>
      </c>
      <c r="E35" s="182" t="s">
        <v>662</v>
      </c>
      <c r="F35" s="182" t="s">
        <v>85</v>
      </c>
      <c r="G35" s="184">
        <f>G36</f>
        <v>300000</v>
      </c>
      <c r="H35" s="120"/>
    </row>
    <row r="36" spans="1:8" ht="12.75">
      <c r="A36" s="13" t="s">
        <v>509</v>
      </c>
      <c r="B36" s="13"/>
      <c r="C36" s="182" t="s">
        <v>504</v>
      </c>
      <c r="D36" s="182" t="s">
        <v>510</v>
      </c>
      <c r="E36" s="182" t="s">
        <v>663</v>
      </c>
      <c r="F36" s="185" t="s">
        <v>85</v>
      </c>
      <c r="G36" s="184">
        <f>G37</f>
        <v>300000</v>
      </c>
      <c r="H36" s="120"/>
    </row>
    <row r="37" spans="1:8" ht="12.75">
      <c r="A37" s="185" t="s">
        <v>245</v>
      </c>
      <c r="B37" s="185"/>
      <c r="C37" s="182" t="s">
        <v>504</v>
      </c>
      <c r="D37" s="182" t="s">
        <v>510</v>
      </c>
      <c r="E37" s="182" t="s">
        <v>206</v>
      </c>
      <c r="F37" s="196" t="s">
        <v>85</v>
      </c>
      <c r="G37" s="184">
        <f>G38</f>
        <v>300000</v>
      </c>
      <c r="H37" s="120"/>
    </row>
    <row r="38" spans="1:8" ht="12.75">
      <c r="A38" s="13" t="s">
        <v>75</v>
      </c>
      <c r="B38" s="13"/>
      <c r="C38" s="182" t="s">
        <v>504</v>
      </c>
      <c r="D38" s="182" t="s">
        <v>510</v>
      </c>
      <c r="E38" s="182" t="s">
        <v>206</v>
      </c>
      <c r="F38" s="182" t="s">
        <v>76</v>
      </c>
      <c r="G38" s="181">
        <v>300000</v>
      </c>
      <c r="H38" s="120"/>
    </row>
    <row r="39" spans="1:8" ht="12.75">
      <c r="A39" s="201" t="s">
        <v>445</v>
      </c>
      <c r="B39" s="201"/>
      <c r="C39" s="200" t="s">
        <v>504</v>
      </c>
      <c r="D39" s="200" t="s">
        <v>98</v>
      </c>
      <c r="E39" s="200" t="s">
        <v>85</v>
      </c>
      <c r="F39" s="200" t="s">
        <v>85</v>
      </c>
      <c r="G39" s="184">
        <f>G40+G46+G53+G63+G67+G58</f>
        <v>33016707.5</v>
      </c>
      <c r="H39" s="120"/>
    </row>
    <row r="40" spans="1:8" ht="51">
      <c r="A40" s="157" t="s">
        <v>674</v>
      </c>
      <c r="B40" s="229"/>
      <c r="C40" s="182" t="s">
        <v>504</v>
      </c>
      <c r="D40" s="182" t="s">
        <v>98</v>
      </c>
      <c r="E40" s="183" t="s">
        <v>8</v>
      </c>
      <c r="F40" s="182" t="s">
        <v>85</v>
      </c>
      <c r="G40" s="184">
        <f>G41</f>
        <v>2736458</v>
      </c>
      <c r="H40" s="120"/>
    </row>
    <row r="41" spans="1:8" ht="38.25">
      <c r="A41" s="205" t="s">
        <v>450</v>
      </c>
      <c r="B41" s="205"/>
      <c r="C41" s="182" t="s">
        <v>504</v>
      </c>
      <c r="D41" s="182" t="s">
        <v>98</v>
      </c>
      <c r="E41" s="183" t="s">
        <v>9</v>
      </c>
      <c r="F41" s="196" t="s">
        <v>85</v>
      </c>
      <c r="G41" s="184">
        <f>G42</f>
        <v>2736458</v>
      </c>
      <c r="H41" s="120"/>
    </row>
    <row r="42" spans="1:9" ht="51">
      <c r="A42" s="18" t="s">
        <v>35</v>
      </c>
      <c r="B42" s="18"/>
      <c r="C42" s="182" t="s">
        <v>504</v>
      </c>
      <c r="D42" s="182" t="s">
        <v>98</v>
      </c>
      <c r="E42" s="183" t="s">
        <v>10</v>
      </c>
      <c r="F42" s="196"/>
      <c r="G42" s="184">
        <f>G43</f>
        <v>2736458</v>
      </c>
      <c r="H42" s="120"/>
      <c r="I42" s="120" t="s">
        <v>264</v>
      </c>
    </row>
    <row r="43" spans="1:8" ht="12.75">
      <c r="A43" s="185" t="s">
        <v>267</v>
      </c>
      <c r="B43" s="185"/>
      <c r="C43" s="182" t="s">
        <v>504</v>
      </c>
      <c r="D43" s="182" t="s">
        <v>98</v>
      </c>
      <c r="E43" s="183" t="s">
        <v>11</v>
      </c>
      <c r="F43" s="196" t="s">
        <v>85</v>
      </c>
      <c r="G43" s="184">
        <f>SUM(G44:G45)</f>
        <v>2736458</v>
      </c>
      <c r="H43" s="120"/>
    </row>
    <row r="44" spans="1:8" ht="25.5">
      <c r="A44" s="13" t="s">
        <v>212</v>
      </c>
      <c r="B44" s="13"/>
      <c r="C44" s="182" t="s">
        <v>504</v>
      </c>
      <c r="D44" s="182" t="s">
        <v>98</v>
      </c>
      <c r="E44" s="183" t="s">
        <v>11</v>
      </c>
      <c r="F44" s="182" t="s">
        <v>72</v>
      </c>
      <c r="G44" s="181">
        <v>2217496</v>
      </c>
      <c r="H44" s="120"/>
    </row>
    <row r="45" spans="1:8" ht="12.75">
      <c r="A45" s="13" t="s">
        <v>75</v>
      </c>
      <c r="B45" s="13"/>
      <c r="C45" s="182" t="s">
        <v>504</v>
      </c>
      <c r="D45" s="182" t="s">
        <v>98</v>
      </c>
      <c r="E45" s="183" t="s">
        <v>11</v>
      </c>
      <c r="F45" s="182">
        <v>800</v>
      </c>
      <c r="G45" s="181">
        <v>518962</v>
      </c>
      <c r="H45" s="120"/>
    </row>
    <row r="46" spans="1:8" ht="56.25" customHeight="1">
      <c r="A46" s="198" t="s">
        <v>280</v>
      </c>
      <c r="B46" s="198"/>
      <c r="C46" s="182" t="s">
        <v>504</v>
      </c>
      <c r="D46" s="182" t="s">
        <v>98</v>
      </c>
      <c r="E46" s="182" t="s">
        <v>12</v>
      </c>
      <c r="F46" s="182"/>
      <c r="G46" s="184">
        <f>G47</f>
        <v>50000</v>
      </c>
      <c r="H46" s="120"/>
    </row>
    <row r="47" spans="1:8" ht="76.5">
      <c r="A47" s="12" t="s">
        <v>281</v>
      </c>
      <c r="B47" s="12"/>
      <c r="C47" s="182" t="s">
        <v>504</v>
      </c>
      <c r="D47" s="182" t="s">
        <v>98</v>
      </c>
      <c r="E47" s="182" t="s">
        <v>13</v>
      </c>
      <c r="F47" s="182"/>
      <c r="G47" s="184">
        <f>G48</f>
        <v>50000</v>
      </c>
      <c r="H47" s="120"/>
    </row>
    <row r="48" spans="1:8" ht="38.25">
      <c r="A48" s="53" t="s">
        <v>268</v>
      </c>
      <c r="B48" s="12"/>
      <c r="C48" s="51" t="s">
        <v>504</v>
      </c>
      <c r="D48" s="51" t="s">
        <v>98</v>
      </c>
      <c r="E48" s="51" t="s">
        <v>107</v>
      </c>
      <c r="F48" s="51"/>
      <c r="G48" s="55">
        <f>G49</f>
        <v>50000</v>
      </c>
      <c r="H48" s="120"/>
    </row>
    <row r="49" spans="1:8" ht="36" hidden="1">
      <c r="A49" s="23" t="s">
        <v>255</v>
      </c>
      <c r="B49" s="12"/>
      <c r="C49" s="51" t="s">
        <v>504</v>
      </c>
      <c r="D49" s="51" t="s">
        <v>98</v>
      </c>
      <c r="E49" s="51" t="s">
        <v>269</v>
      </c>
      <c r="F49" s="51"/>
      <c r="G49" s="55">
        <f>G50</f>
        <v>50000</v>
      </c>
      <c r="H49" s="120"/>
    </row>
    <row r="50" spans="1:8" ht="25.5">
      <c r="A50" s="53" t="s">
        <v>212</v>
      </c>
      <c r="B50" s="12"/>
      <c r="C50" s="51" t="s">
        <v>504</v>
      </c>
      <c r="D50" s="51" t="s">
        <v>98</v>
      </c>
      <c r="E50" s="51" t="s">
        <v>269</v>
      </c>
      <c r="F50" s="51">
        <v>200</v>
      </c>
      <c r="G50" s="55">
        <v>50000</v>
      </c>
      <c r="H50" s="120"/>
    </row>
    <row r="51" spans="1:8" ht="36" hidden="1">
      <c r="A51" s="23" t="s">
        <v>255</v>
      </c>
      <c r="B51" s="23"/>
      <c r="C51" s="182" t="s">
        <v>504</v>
      </c>
      <c r="D51" s="182" t="s">
        <v>98</v>
      </c>
      <c r="E51" s="182" t="s">
        <v>256</v>
      </c>
      <c r="F51" s="182"/>
      <c r="G51" s="184">
        <f>G52</f>
        <v>0</v>
      </c>
      <c r="H51" s="120"/>
    </row>
    <row r="52" spans="1:8" ht="25.5" hidden="1">
      <c r="A52" s="13" t="s">
        <v>212</v>
      </c>
      <c r="B52" s="13"/>
      <c r="C52" s="182" t="s">
        <v>504</v>
      </c>
      <c r="D52" s="182" t="s">
        <v>98</v>
      </c>
      <c r="E52" s="182" t="s">
        <v>256</v>
      </c>
      <c r="F52" s="182">
        <v>200</v>
      </c>
      <c r="G52" s="181"/>
      <c r="H52" s="120"/>
    </row>
    <row r="53" spans="1:8" ht="51" hidden="1">
      <c r="A53" s="198" t="s">
        <v>676</v>
      </c>
      <c r="B53" s="198"/>
      <c r="C53" s="182" t="s">
        <v>504</v>
      </c>
      <c r="D53" s="182" t="s">
        <v>98</v>
      </c>
      <c r="E53" s="182" t="s">
        <v>108</v>
      </c>
      <c r="F53" s="182"/>
      <c r="G53" s="184">
        <f>G54</f>
        <v>0</v>
      </c>
      <c r="H53" s="120"/>
    </row>
    <row r="54" spans="1:8" ht="63.75" hidden="1">
      <c r="A54" s="12" t="s">
        <v>677</v>
      </c>
      <c r="B54" s="12"/>
      <c r="C54" s="182" t="s">
        <v>504</v>
      </c>
      <c r="D54" s="182" t="s">
        <v>98</v>
      </c>
      <c r="E54" s="182" t="s">
        <v>109</v>
      </c>
      <c r="F54" s="182"/>
      <c r="G54" s="184">
        <f>G55</f>
        <v>0</v>
      </c>
      <c r="H54" s="120"/>
    </row>
    <row r="55" spans="1:8" ht="38.25" hidden="1">
      <c r="A55" s="13" t="s">
        <v>110</v>
      </c>
      <c r="B55" s="13"/>
      <c r="C55" s="182" t="s">
        <v>504</v>
      </c>
      <c r="D55" s="182" t="s">
        <v>98</v>
      </c>
      <c r="E55" s="182" t="s">
        <v>111</v>
      </c>
      <c r="F55" s="182"/>
      <c r="G55" s="184">
        <f>G56</f>
        <v>0</v>
      </c>
      <c r="H55" s="120"/>
    </row>
    <row r="56" spans="1:8" ht="38.25" hidden="1">
      <c r="A56" s="13" t="s">
        <v>113</v>
      </c>
      <c r="B56" s="13"/>
      <c r="C56" s="182" t="s">
        <v>504</v>
      </c>
      <c r="D56" s="182" t="s">
        <v>98</v>
      </c>
      <c r="E56" s="182" t="s">
        <v>112</v>
      </c>
      <c r="F56" s="182"/>
      <c r="G56" s="184">
        <f>G57</f>
        <v>0</v>
      </c>
      <c r="H56" s="120"/>
    </row>
    <row r="57" spans="1:8" ht="25.5" hidden="1">
      <c r="A57" s="13" t="s">
        <v>212</v>
      </c>
      <c r="B57" s="13"/>
      <c r="C57" s="182" t="s">
        <v>504</v>
      </c>
      <c r="D57" s="182" t="s">
        <v>98</v>
      </c>
      <c r="E57" s="182" t="s">
        <v>112</v>
      </c>
      <c r="F57" s="182">
        <v>200</v>
      </c>
      <c r="G57" s="181">
        <v>0</v>
      </c>
      <c r="H57" s="120"/>
    </row>
    <row r="58" spans="1:8" ht="25.5">
      <c r="A58" s="139" t="s">
        <v>443</v>
      </c>
      <c r="B58" s="127"/>
      <c r="C58" s="127" t="s">
        <v>504</v>
      </c>
      <c r="D58" s="127" t="s">
        <v>98</v>
      </c>
      <c r="E58" s="127" t="s">
        <v>652</v>
      </c>
      <c r="F58" s="127"/>
      <c r="G58" s="138">
        <f>G59</f>
        <v>334700</v>
      </c>
      <c r="H58" s="120"/>
    </row>
    <row r="59" spans="1:8" ht="25.5">
      <c r="A59" s="139" t="s">
        <v>447</v>
      </c>
      <c r="B59" s="127"/>
      <c r="C59" s="127" t="s">
        <v>504</v>
      </c>
      <c r="D59" s="127" t="s">
        <v>98</v>
      </c>
      <c r="E59" s="127" t="s">
        <v>653</v>
      </c>
      <c r="F59" s="127"/>
      <c r="G59" s="138">
        <f>G60</f>
        <v>334700</v>
      </c>
      <c r="H59" s="120"/>
    </row>
    <row r="60" spans="1:8" ht="38.25">
      <c r="A60" s="139" t="s">
        <v>277</v>
      </c>
      <c r="B60" s="139"/>
      <c r="C60" s="127" t="s">
        <v>504</v>
      </c>
      <c r="D60" s="127" t="s">
        <v>98</v>
      </c>
      <c r="E60" s="127" t="s">
        <v>654</v>
      </c>
      <c r="F60" s="129"/>
      <c r="G60" s="126">
        <f>SUM(G61:G62)</f>
        <v>334700</v>
      </c>
      <c r="H60" s="120"/>
    </row>
    <row r="61" spans="1:8" ht="63.75">
      <c r="A61" s="139" t="s">
        <v>698</v>
      </c>
      <c r="B61" s="139"/>
      <c r="C61" s="127" t="s">
        <v>504</v>
      </c>
      <c r="D61" s="127" t="s">
        <v>98</v>
      </c>
      <c r="E61" s="127" t="s">
        <v>654</v>
      </c>
      <c r="F61" s="129">
        <v>100</v>
      </c>
      <c r="G61" s="138">
        <v>294347.73</v>
      </c>
      <c r="H61" s="120"/>
    </row>
    <row r="62" spans="1:8" ht="25.5">
      <c r="A62" s="139" t="s">
        <v>212</v>
      </c>
      <c r="B62" s="139"/>
      <c r="C62" s="127" t="s">
        <v>504</v>
      </c>
      <c r="D62" s="127" t="s">
        <v>98</v>
      </c>
      <c r="E62" s="127" t="s">
        <v>654</v>
      </c>
      <c r="F62" s="129">
        <v>200</v>
      </c>
      <c r="G62" s="138">
        <v>40352.27</v>
      </c>
      <c r="H62" s="120"/>
    </row>
    <row r="63" spans="1:8" ht="25.5">
      <c r="A63" s="13" t="s">
        <v>494</v>
      </c>
      <c r="B63" s="13"/>
      <c r="C63" s="182" t="s">
        <v>504</v>
      </c>
      <c r="D63" s="182" t="s">
        <v>98</v>
      </c>
      <c r="E63" s="183" t="s">
        <v>493</v>
      </c>
      <c r="F63" s="182"/>
      <c r="G63" s="184">
        <f>G64</f>
        <v>880900</v>
      </c>
      <c r="H63" s="120"/>
    </row>
    <row r="64" spans="1:8" ht="12.75">
      <c r="A64" s="12" t="s">
        <v>492</v>
      </c>
      <c r="B64" s="12"/>
      <c r="C64" s="182" t="s">
        <v>504</v>
      </c>
      <c r="D64" s="182" t="s">
        <v>98</v>
      </c>
      <c r="E64" s="183" t="s">
        <v>491</v>
      </c>
      <c r="F64" s="182"/>
      <c r="G64" s="184">
        <f>G65</f>
        <v>880900</v>
      </c>
      <c r="H64" s="120"/>
    </row>
    <row r="65" spans="1:8" ht="25.5">
      <c r="A65" s="185" t="s">
        <v>34</v>
      </c>
      <c r="B65" s="185"/>
      <c r="C65" s="182" t="s">
        <v>504</v>
      </c>
      <c r="D65" s="182" t="s">
        <v>98</v>
      </c>
      <c r="E65" s="183" t="s">
        <v>679</v>
      </c>
      <c r="F65" s="182"/>
      <c r="G65" s="184">
        <f>G66</f>
        <v>880900</v>
      </c>
      <c r="H65" s="120"/>
    </row>
    <row r="66" spans="1:8" ht="12.75">
      <c r="A66" s="13" t="s">
        <v>75</v>
      </c>
      <c r="B66" s="13"/>
      <c r="C66" s="182" t="s">
        <v>504</v>
      </c>
      <c r="D66" s="182" t="s">
        <v>98</v>
      </c>
      <c r="E66" s="183" t="s">
        <v>679</v>
      </c>
      <c r="F66" s="182">
        <v>800</v>
      </c>
      <c r="G66" s="181">
        <v>880900</v>
      </c>
      <c r="H66" s="120"/>
    </row>
    <row r="67" spans="1:8" ht="25.5">
      <c r="A67" s="198" t="s">
        <v>593</v>
      </c>
      <c r="B67" s="198"/>
      <c r="C67" s="182" t="s">
        <v>504</v>
      </c>
      <c r="D67" s="182" t="s">
        <v>98</v>
      </c>
      <c r="E67" s="183" t="s">
        <v>14</v>
      </c>
      <c r="F67" s="196" t="s">
        <v>85</v>
      </c>
      <c r="G67" s="184">
        <f>G68</f>
        <v>29014649.5</v>
      </c>
      <c r="H67" s="120"/>
    </row>
    <row r="68" spans="1:8" ht="25.5">
      <c r="A68" s="12" t="s">
        <v>603</v>
      </c>
      <c r="B68" s="12"/>
      <c r="C68" s="182" t="s">
        <v>504</v>
      </c>
      <c r="D68" s="182" t="s">
        <v>98</v>
      </c>
      <c r="E68" s="186" t="s">
        <v>16</v>
      </c>
      <c r="F68" s="197" t="s">
        <v>85</v>
      </c>
      <c r="G68" s="184">
        <f>G69+G73+G76+G78+G81</f>
        <v>29014649.5</v>
      </c>
      <c r="H68" s="120"/>
    </row>
    <row r="69" spans="1:8" ht="25.5">
      <c r="A69" s="185" t="s">
        <v>468</v>
      </c>
      <c r="B69" s="185"/>
      <c r="C69" s="182" t="s">
        <v>504</v>
      </c>
      <c r="D69" s="182" t="s">
        <v>98</v>
      </c>
      <c r="E69" s="183" t="s">
        <v>17</v>
      </c>
      <c r="F69" s="196" t="s">
        <v>85</v>
      </c>
      <c r="G69" s="184">
        <f>SUM(G70:G72)</f>
        <v>22527525</v>
      </c>
      <c r="H69" s="120"/>
    </row>
    <row r="70" spans="1:8" ht="63.75">
      <c r="A70" s="13" t="s">
        <v>698</v>
      </c>
      <c r="B70" s="13"/>
      <c r="C70" s="182" t="s">
        <v>504</v>
      </c>
      <c r="D70" s="182" t="s">
        <v>98</v>
      </c>
      <c r="E70" s="183" t="s">
        <v>17</v>
      </c>
      <c r="F70" s="182" t="s">
        <v>565</v>
      </c>
      <c r="G70" s="181">
        <v>21478278</v>
      </c>
      <c r="H70" s="120"/>
    </row>
    <row r="71" spans="1:8" ht="25.5">
      <c r="A71" s="13" t="s">
        <v>212</v>
      </c>
      <c r="B71" s="13"/>
      <c r="C71" s="182" t="s">
        <v>504</v>
      </c>
      <c r="D71" s="182" t="s">
        <v>98</v>
      </c>
      <c r="E71" s="183" t="s">
        <v>17</v>
      </c>
      <c r="F71" s="182" t="s">
        <v>72</v>
      </c>
      <c r="G71" s="181">
        <v>1000100</v>
      </c>
      <c r="H71" s="120"/>
    </row>
    <row r="72" spans="1:8" ht="12.75">
      <c r="A72" s="13" t="s">
        <v>75</v>
      </c>
      <c r="B72" s="13"/>
      <c r="C72" s="182" t="s">
        <v>504</v>
      </c>
      <c r="D72" s="182" t="s">
        <v>98</v>
      </c>
      <c r="E72" s="183" t="s">
        <v>17</v>
      </c>
      <c r="F72" s="182" t="s">
        <v>76</v>
      </c>
      <c r="G72" s="181">
        <v>49147</v>
      </c>
      <c r="H72" s="120"/>
    </row>
    <row r="73" spans="1:8" ht="25.5">
      <c r="A73" s="185" t="s">
        <v>34</v>
      </c>
      <c r="B73" s="13"/>
      <c r="C73" s="182" t="s">
        <v>504</v>
      </c>
      <c r="D73" s="182" t="s">
        <v>98</v>
      </c>
      <c r="E73" s="183" t="s">
        <v>325</v>
      </c>
      <c r="F73" s="182"/>
      <c r="G73" s="181">
        <f>G75+G74</f>
        <v>5779774.5</v>
      </c>
      <c r="H73" s="120"/>
    </row>
    <row r="74" spans="1:8" ht="15.75" customHeight="1">
      <c r="A74" s="129" t="s">
        <v>79</v>
      </c>
      <c r="B74" s="13"/>
      <c r="C74" s="127" t="s">
        <v>504</v>
      </c>
      <c r="D74" s="127" t="s">
        <v>98</v>
      </c>
      <c r="E74" s="128" t="s">
        <v>325</v>
      </c>
      <c r="F74" s="127">
        <v>300</v>
      </c>
      <c r="G74" s="181"/>
      <c r="H74" s="120"/>
    </row>
    <row r="75" spans="1:8" ht="12.75">
      <c r="A75" s="13" t="s">
        <v>75</v>
      </c>
      <c r="B75" s="13"/>
      <c r="C75" s="182" t="s">
        <v>504</v>
      </c>
      <c r="D75" s="182" t="s">
        <v>98</v>
      </c>
      <c r="E75" s="183" t="s">
        <v>325</v>
      </c>
      <c r="F75" s="182">
        <v>800</v>
      </c>
      <c r="G75" s="181">
        <v>5779774.5</v>
      </c>
      <c r="H75" s="120"/>
    </row>
    <row r="76" spans="1:8" ht="25.5">
      <c r="A76" s="185" t="s">
        <v>438</v>
      </c>
      <c r="B76" s="185"/>
      <c r="C76" s="182" t="s">
        <v>504</v>
      </c>
      <c r="D76" s="182" t="s">
        <v>98</v>
      </c>
      <c r="E76" s="183" t="s">
        <v>18</v>
      </c>
      <c r="F76" s="196" t="s">
        <v>85</v>
      </c>
      <c r="G76" s="184">
        <f>G77</f>
        <v>540000</v>
      </c>
      <c r="H76" s="120"/>
    </row>
    <row r="77" spans="1:8" ht="25.5">
      <c r="A77" s="13" t="s">
        <v>212</v>
      </c>
      <c r="B77" s="13"/>
      <c r="C77" s="182" t="s">
        <v>504</v>
      </c>
      <c r="D77" s="182" t="s">
        <v>98</v>
      </c>
      <c r="E77" s="183" t="s">
        <v>18</v>
      </c>
      <c r="F77" s="183">
        <v>200</v>
      </c>
      <c r="G77" s="181">
        <v>540000</v>
      </c>
      <c r="H77" s="120"/>
    </row>
    <row r="78" spans="1:8" ht="51" customHeight="1">
      <c r="A78" s="27" t="s">
        <v>730</v>
      </c>
      <c r="B78" s="27"/>
      <c r="C78" s="182" t="s">
        <v>504</v>
      </c>
      <c r="D78" s="182" t="s">
        <v>98</v>
      </c>
      <c r="E78" s="183" t="s">
        <v>44</v>
      </c>
      <c r="F78" s="183"/>
      <c r="G78" s="184">
        <f>SUM(G79:G80)</f>
        <v>167350</v>
      </c>
      <c r="H78" s="120"/>
    </row>
    <row r="79" spans="1:8" ht="63.75">
      <c r="A79" s="13" t="s">
        <v>698</v>
      </c>
      <c r="B79" s="13"/>
      <c r="C79" s="182" t="s">
        <v>504</v>
      </c>
      <c r="D79" s="182" t="s">
        <v>98</v>
      </c>
      <c r="E79" s="183" t="s">
        <v>44</v>
      </c>
      <c r="F79" s="183">
        <v>100</v>
      </c>
      <c r="G79" s="181">
        <v>131226.27</v>
      </c>
      <c r="H79" s="120"/>
    </row>
    <row r="80" spans="1:8" ht="25.5">
      <c r="A80" s="228" t="s">
        <v>212</v>
      </c>
      <c r="B80" s="228"/>
      <c r="C80" s="227" t="s">
        <v>504</v>
      </c>
      <c r="D80" s="227" t="s">
        <v>98</v>
      </c>
      <c r="E80" s="226" t="s">
        <v>44</v>
      </c>
      <c r="F80" s="226">
        <v>200</v>
      </c>
      <c r="G80" s="414">
        <v>36123.73</v>
      </c>
      <c r="H80" s="120"/>
    </row>
    <row r="81" spans="1:8" ht="25.5" hidden="1">
      <c r="A81" s="156" t="s">
        <v>779</v>
      </c>
      <c r="B81" s="224"/>
      <c r="C81" s="127" t="s">
        <v>504</v>
      </c>
      <c r="D81" s="127" t="s">
        <v>98</v>
      </c>
      <c r="E81" s="124" t="s">
        <v>778</v>
      </c>
      <c r="F81" s="155"/>
      <c r="G81" s="225">
        <f>G82</f>
        <v>0</v>
      </c>
      <c r="H81" s="120"/>
    </row>
    <row r="82" spans="1:8" ht="25.5" hidden="1">
      <c r="A82" s="125" t="s">
        <v>212</v>
      </c>
      <c r="B82" s="224"/>
      <c r="C82" s="123" t="s">
        <v>504</v>
      </c>
      <c r="D82" s="123" t="s">
        <v>98</v>
      </c>
      <c r="E82" s="124" t="s">
        <v>778</v>
      </c>
      <c r="F82" s="124">
        <v>200</v>
      </c>
      <c r="G82" s="225"/>
      <c r="H82" s="120"/>
    </row>
    <row r="83" spans="1:8" ht="12.75">
      <c r="A83" s="223" t="s">
        <v>496</v>
      </c>
      <c r="B83" s="223"/>
      <c r="C83" s="221" t="s">
        <v>506</v>
      </c>
      <c r="D83" s="222" t="s">
        <v>436</v>
      </c>
      <c r="E83" s="221" t="s">
        <v>85</v>
      </c>
      <c r="F83" s="221" t="s">
        <v>85</v>
      </c>
      <c r="G83" s="415">
        <f>G84</f>
        <v>16200</v>
      </c>
      <c r="H83" s="120"/>
    </row>
    <row r="84" spans="1:8" ht="12.75">
      <c r="A84" s="201" t="s">
        <v>495</v>
      </c>
      <c r="B84" s="201"/>
      <c r="C84" s="200" t="s">
        <v>506</v>
      </c>
      <c r="D84" s="200" t="s">
        <v>507</v>
      </c>
      <c r="E84" s="199" t="s">
        <v>85</v>
      </c>
      <c r="F84" s="199" t="s">
        <v>85</v>
      </c>
      <c r="G84" s="184">
        <f>G85</f>
        <v>16200</v>
      </c>
      <c r="H84" s="120"/>
    </row>
    <row r="85" spans="1:8" ht="25.5">
      <c r="A85" s="13" t="s">
        <v>494</v>
      </c>
      <c r="B85" s="13"/>
      <c r="C85" s="182" t="s">
        <v>506</v>
      </c>
      <c r="D85" s="182" t="s">
        <v>507</v>
      </c>
      <c r="E85" s="183" t="s">
        <v>493</v>
      </c>
      <c r="F85" s="196" t="s">
        <v>85</v>
      </c>
      <c r="G85" s="184">
        <f>G86</f>
        <v>16200</v>
      </c>
      <c r="H85" s="120"/>
    </row>
    <row r="86" spans="1:8" ht="12.75">
      <c r="A86" s="13" t="s">
        <v>492</v>
      </c>
      <c r="B86" s="13"/>
      <c r="C86" s="182" t="s">
        <v>506</v>
      </c>
      <c r="D86" s="182" t="s">
        <v>507</v>
      </c>
      <c r="E86" s="183" t="s">
        <v>491</v>
      </c>
      <c r="F86" s="196"/>
      <c r="G86" s="184">
        <f>G87</f>
        <v>16200</v>
      </c>
      <c r="H86" s="120"/>
    </row>
    <row r="87" spans="1:8" ht="25.5">
      <c r="A87" s="20" t="s">
        <v>490</v>
      </c>
      <c r="B87" s="20"/>
      <c r="C87" s="182" t="s">
        <v>506</v>
      </c>
      <c r="D87" s="182" t="s">
        <v>507</v>
      </c>
      <c r="E87" s="183" t="s">
        <v>489</v>
      </c>
      <c r="F87" s="197" t="s">
        <v>85</v>
      </c>
      <c r="G87" s="184">
        <f>G88</f>
        <v>16200</v>
      </c>
      <c r="H87" s="120"/>
    </row>
    <row r="88" spans="1:8" ht="25.5">
      <c r="A88" s="180" t="s">
        <v>89</v>
      </c>
      <c r="B88" s="180"/>
      <c r="C88" s="178" t="s">
        <v>506</v>
      </c>
      <c r="D88" s="178" t="s">
        <v>507</v>
      </c>
      <c r="E88" s="179" t="s">
        <v>489</v>
      </c>
      <c r="F88" s="178">
        <v>200</v>
      </c>
      <c r="G88" s="177">
        <v>16200</v>
      </c>
      <c r="H88" s="120"/>
    </row>
    <row r="89" spans="1:8" ht="25.5">
      <c r="A89" s="161" t="s">
        <v>446</v>
      </c>
      <c r="B89" s="161"/>
      <c r="C89" s="159" t="s">
        <v>99</v>
      </c>
      <c r="D89" s="203" t="s">
        <v>436</v>
      </c>
      <c r="E89" s="159" t="s">
        <v>85</v>
      </c>
      <c r="F89" s="159" t="s">
        <v>85</v>
      </c>
      <c r="G89" s="158">
        <f>G90</f>
        <v>2771627</v>
      </c>
      <c r="H89" s="120"/>
    </row>
    <row r="90" spans="1:8" ht="38.25">
      <c r="A90" s="201" t="s">
        <v>455</v>
      </c>
      <c r="B90" s="201"/>
      <c r="C90" s="200" t="s">
        <v>99</v>
      </c>
      <c r="D90" s="200">
        <v>10</v>
      </c>
      <c r="E90" s="200" t="s">
        <v>85</v>
      </c>
      <c r="F90" s="200" t="s">
        <v>85</v>
      </c>
      <c r="G90" s="184">
        <f>G91</f>
        <v>2771627</v>
      </c>
      <c r="H90" s="120"/>
    </row>
    <row r="91" spans="1:8" ht="51">
      <c r="A91" s="198" t="s">
        <v>456</v>
      </c>
      <c r="B91" s="198"/>
      <c r="C91" s="182" t="s">
        <v>99</v>
      </c>
      <c r="D91" s="182">
        <v>10</v>
      </c>
      <c r="E91" s="183" t="s">
        <v>19</v>
      </c>
      <c r="F91" s="182" t="s">
        <v>85</v>
      </c>
      <c r="G91" s="184">
        <f>G92</f>
        <v>2771627</v>
      </c>
      <c r="H91" s="120"/>
    </row>
    <row r="92" spans="1:8" ht="89.25">
      <c r="A92" s="24" t="s">
        <v>278</v>
      </c>
      <c r="B92" s="24"/>
      <c r="C92" s="182" t="s">
        <v>99</v>
      </c>
      <c r="D92" s="182">
        <v>10</v>
      </c>
      <c r="E92" s="183" t="s">
        <v>845</v>
      </c>
      <c r="F92" s="182"/>
      <c r="G92" s="184">
        <f>G93+G98</f>
        <v>2771627</v>
      </c>
      <c r="H92" s="120"/>
    </row>
    <row r="93" spans="1:8" ht="69.75" customHeight="1">
      <c r="A93" s="17" t="s">
        <v>243</v>
      </c>
      <c r="B93" s="17"/>
      <c r="C93" s="182" t="s">
        <v>99</v>
      </c>
      <c r="D93" s="182">
        <v>10</v>
      </c>
      <c r="E93" s="183" t="s">
        <v>881</v>
      </c>
      <c r="F93" s="182"/>
      <c r="G93" s="184">
        <f>G94+G101</f>
        <v>2671627</v>
      </c>
      <c r="H93" s="120"/>
    </row>
    <row r="94" spans="1:8" ht="24" customHeight="1">
      <c r="A94" s="185" t="s">
        <v>468</v>
      </c>
      <c r="B94" s="185"/>
      <c r="C94" s="182" t="s">
        <v>99</v>
      </c>
      <c r="D94" s="182">
        <v>10</v>
      </c>
      <c r="E94" s="183" t="s">
        <v>876</v>
      </c>
      <c r="F94" s="182" t="s">
        <v>85</v>
      </c>
      <c r="G94" s="184">
        <f>SUM(G95:G97)</f>
        <v>2671627</v>
      </c>
      <c r="H94" s="120"/>
    </row>
    <row r="95" spans="1:8" ht="63.75">
      <c r="A95" s="13" t="s">
        <v>698</v>
      </c>
      <c r="B95" s="13"/>
      <c r="C95" s="182" t="s">
        <v>99</v>
      </c>
      <c r="D95" s="182">
        <v>10</v>
      </c>
      <c r="E95" s="183" t="s">
        <v>876</v>
      </c>
      <c r="F95" s="182" t="s">
        <v>565</v>
      </c>
      <c r="G95" s="181">
        <v>2484982</v>
      </c>
      <c r="H95" s="120"/>
    </row>
    <row r="96" spans="1:8" ht="25.5">
      <c r="A96" s="13" t="s">
        <v>212</v>
      </c>
      <c r="B96" s="13"/>
      <c r="C96" s="182" t="s">
        <v>99</v>
      </c>
      <c r="D96" s="182">
        <v>10</v>
      </c>
      <c r="E96" s="183" t="s">
        <v>876</v>
      </c>
      <c r="F96" s="182" t="s">
        <v>72</v>
      </c>
      <c r="G96" s="181">
        <v>185445</v>
      </c>
      <c r="H96" s="120"/>
    </row>
    <row r="97" spans="1:8" ht="12.75">
      <c r="A97" s="180" t="s">
        <v>75</v>
      </c>
      <c r="B97" s="180"/>
      <c r="C97" s="178" t="s">
        <v>99</v>
      </c>
      <c r="D97" s="178">
        <v>10</v>
      </c>
      <c r="E97" s="183" t="s">
        <v>876</v>
      </c>
      <c r="F97" s="178" t="s">
        <v>76</v>
      </c>
      <c r="G97" s="177">
        <v>1200</v>
      </c>
      <c r="H97" s="120"/>
    </row>
    <row r="98" spans="1:8" ht="51">
      <c r="A98" s="17" t="s">
        <v>844</v>
      </c>
      <c r="B98" s="198"/>
      <c r="C98" s="123" t="s">
        <v>99</v>
      </c>
      <c r="D98" s="123" t="s">
        <v>527</v>
      </c>
      <c r="E98" s="124" t="s">
        <v>846</v>
      </c>
      <c r="F98" s="123"/>
      <c r="G98" s="126">
        <f>G99</f>
        <v>100000</v>
      </c>
      <c r="H98" s="120"/>
    </row>
    <row r="99" spans="1:8" ht="38.25">
      <c r="A99" s="17" t="s">
        <v>255</v>
      </c>
      <c r="B99" s="198"/>
      <c r="C99" s="123" t="s">
        <v>99</v>
      </c>
      <c r="D99" s="123" t="s">
        <v>527</v>
      </c>
      <c r="E99" s="124" t="s">
        <v>847</v>
      </c>
      <c r="F99" s="123"/>
      <c r="G99" s="126">
        <f>G100</f>
        <v>100000</v>
      </c>
      <c r="H99" s="120"/>
    </row>
    <row r="100" spans="1:8" ht="25.5">
      <c r="A100" s="17" t="s">
        <v>148</v>
      </c>
      <c r="B100" s="198"/>
      <c r="C100" s="123" t="s">
        <v>99</v>
      </c>
      <c r="D100" s="123" t="s">
        <v>527</v>
      </c>
      <c r="E100" s="124" t="s">
        <v>847</v>
      </c>
      <c r="F100" s="123" t="s">
        <v>72</v>
      </c>
      <c r="G100" s="122">
        <v>100000</v>
      </c>
      <c r="H100" s="120"/>
    </row>
    <row r="101" spans="1:8" ht="38.25" hidden="1">
      <c r="A101" s="139" t="s">
        <v>832</v>
      </c>
      <c r="B101" s="224"/>
      <c r="C101" s="123" t="s">
        <v>99</v>
      </c>
      <c r="D101" s="123">
        <v>10</v>
      </c>
      <c r="E101" s="124" t="s">
        <v>833</v>
      </c>
      <c r="F101" s="127"/>
      <c r="G101" s="181">
        <f>G102</f>
        <v>0</v>
      </c>
      <c r="H101" s="120"/>
    </row>
    <row r="102" spans="1:8" ht="25.5" hidden="1">
      <c r="A102" s="139" t="s">
        <v>212</v>
      </c>
      <c r="B102" s="180"/>
      <c r="C102" s="123" t="s">
        <v>99</v>
      </c>
      <c r="D102" s="123">
        <v>10</v>
      </c>
      <c r="E102" s="124" t="s">
        <v>833</v>
      </c>
      <c r="F102" s="127">
        <v>200</v>
      </c>
      <c r="G102" s="177"/>
      <c r="H102" s="120"/>
    </row>
    <row r="103" spans="1:8" ht="12.75">
      <c r="A103" s="161" t="s">
        <v>686</v>
      </c>
      <c r="B103" s="161"/>
      <c r="C103" s="159" t="s">
        <v>507</v>
      </c>
      <c r="D103" s="203" t="s">
        <v>436</v>
      </c>
      <c r="E103" s="159" t="s">
        <v>85</v>
      </c>
      <c r="F103" s="159" t="s">
        <v>85</v>
      </c>
      <c r="G103" s="158">
        <f>G104+G116+G135+G110</f>
        <v>63833177.15</v>
      </c>
      <c r="H103" s="120"/>
    </row>
    <row r="104" spans="1:8" ht="12.75">
      <c r="A104" s="201" t="s">
        <v>687</v>
      </c>
      <c r="B104" s="201"/>
      <c r="C104" s="200" t="s">
        <v>507</v>
      </c>
      <c r="D104" s="200" t="s">
        <v>504</v>
      </c>
      <c r="E104" s="200" t="s">
        <v>85</v>
      </c>
      <c r="F104" s="200" t="s">
        <v>85</v>
      </c>
      <c r="G104" s="184">
        <f>G105</f>
        <v>88300</v>
      </c>
      <c r="H104" s="120"/>
    </row>
    <row r="105" spans="1:8" ht="38.25">
      <c r="A105" s="198" t="s">
        <v>665</v>
      </c>
      <c r="B105" s="198"/>
      <c r="C105" s="182" t="s">
        <v>507</v>
      </c>
      <c r="D105" s="182" t="s">
        <v>504</v>
      </c>
      <c r="E105" s="183" t="s">
        <v>21</v>
      </c>
      <c r="F105" s="182" t="s">
        <v>85</v>
      </c>
      <c r="G105" s="184">
        <f>G106</f>
        <v>88300</v>
      </c>
      <c r="H105" s="120"/>
    </row>
    <row r="106" spans="1:8" ht="51">
      <c r="A106" s="12" t="s">
        <v>557</v>
      </c>
      <c r="B106" s="12"/>
      <c r="C106" s="182" t="s">
        <v>507</v>
      </c>
      <c r="D106" s="182" t="s">
        <v>504</v>
      </c>
      <c r="E106" s="183" t="s">
        <v>22</v>
      </c>
      <c r="F106" s="182"/>
      <c r="G106" s="184">
        <f>G107</f>
        <v>88300</v>
      </c>
      <c r="H106" s="120"/>
    </row>
    <row r="107" spans="1:8" ht="51">
      <c r="A107" s="18" t="s">
        <v>488</v>
      </c>
      <c r="B107" s="18"/>
      <c r="C107" s="182" t="s">
        <v>507</v>
      </c>
      <c r="D107" s="182" t="s">
        <v>504</v>
      </c>
      <c r="E107" s="183" t="s">
        <v>23</v>
      </c>
      <c r="F107" s="182"/>
      <c r="G107" s="184">
        <f>G108</f>
        <v>88300</v>
      </c>
      <c r="H107" s="120"/>
    </row>
    <row r="108" spans="1:8" ht="25.5">
      <c r="A108" s="13" t="s">
        <v>664</v>
      </c>
      <c r="B108" s="13"/>
      <c r="C108" s="182" t="s">
        <v>507</v>
      </c>
      <c r="D108" s="182" t="s">
        <v>504</v>
      </c>
      <c r="E108" s="183" t="s">
        <v>24</v>
      </c>
      <c r="F108" s="182"/>
      <c r="G108" s="184">
        <f>G109</f>
        <v>88300</v>
      </c>
      <c r="H108" s="120"/>
    </row>
    <row r="109" spans="1:8" ht="38.25">
      <c r="A109" s="13" t="s">
        <v>88</v>
      </c>
      <c r="B109" s="13"/>
      <c r="C109" s="182" t="s">
        <v>507</v>
      </c>
      <c r="D109" s="182" t="s">
        <v>504</v>
      </c>
      <c r="E109" s="183" t="s">
        <v>24</v>
      </c>
      <c r="F109" s="182">
        <v>600</v>
      </c>
      <c r="G109" s="181">
        <v>88300</v>
      </c>
      <c r="H109" s="120"/>
    </row>
    <row r="110" spans="1:8" ht="12.75">
      <c r="A110" s="132" t="s">
        <v>848</v>
      </c>
      <c r="B110" s="13"/>
      <c r="C110" s="131" t="s">
        <v>507</v>
      </c>
      <c r="D110" s="131" t="s">
        <v>526</v>
      </c>
      <c r="E110" s="131"/>
      <c r="F110" s="131"/>
      <c r="G110" s="126">
        <f>G111</f>
        <v>1513276.15</v>
      </c>
      <c r="H110" s="120"/>
    </row>
    <row r="111" spans="1:8" ht="63.75">
      <c r="A111" s="130" t="s">
        <v>452</v>
      </c>
      <c r="B111" s="13"/>
      <c r="C111" s="127" t="s">
        <v>507</v>
      </c>
      <c r="D111" s="127" t="s">
        <v>526</v>
      </c>
      <c r="E111" s="128" t="s">
        <v>852</v>
      </c>
      <c r="F111" s="127"/>
      <c r="G111" s="126">
        <f>G112</f>
        <v>1513276.15</v>
      </c>
      <c r="H111" s="120"/>
    </row>
    <row r="112" spans="1:8" ht="25.5">
      <c r="A112" s="70" t="s">
        <v>849</v>
      </c>
      <c r="B112" s="13"/>
      <c r="C112" s="127" t="s">
        <v>507</v>
      </c>
      <c r="D112" s="127" t="s">
        <v>526</v>
      </c>
      <c r="E112" s="128" t="s">
        <v>853</v>
      </c>
      <c r="F112" s="127"/>
      <c r="G112" s="126">
        <f>G113</f>
        <v>1513276.15</v>
      </c>
      <c r="H112" s="120"/>
    </row>
    <row r="113" spans="1:8" ht="38.25">
      <c r="A113" s="139" t="s">
        <v>850</v>
      </c>
      <c r="B113" s="13"/>
      <c r="C113" s="127" t="s">
        <v>507</v>
      </c>
      <c r="D113" s="127" t="s">
        <v>526</v>
      </c>
      <c r="E113" s="128" t="s">
        <v>854</v>
      </c>
      <c r="F113" s="127"/>
      <c r="G113" s="138">
        <f>G114</f>
        <v>1513276.15</v>
      </c>
      <c r="H113" s="120"/>
    </row>
    <row r="114" spans="1:8" ht="12.75">
      <c r="A114" s="139" t="s">
        <v>851</v>
      </c>
      <c r="B114" s="13"/>
      <c r="C114" s="127" t="s">
        <v>507</v>
      </c>
      <c r="D114" s="127" t="s">
        <v>526</v>
      </c>
      <c r="E114" s="128" t="s">
        <v>855</v>
      </c>
      <c r="F114" s="127"/>
      <c r="G114" s="138">
        <f>G115</f>
        <v>1513276.15</v>
      </c>
      <c r="H114" s="120"/>
    </row>
    <row r="115" spans="1:8" ht="25.5">
      <c r="A115" s="139" t="s">
        <v>212</v>
      </c>
      <c r="B115" s="13"/>
      <c r="C115" s="127" t="s">
        <v>507</v>
      </c>
      <c r="D115" s="127" t="s">
        <v>526</v>
      </c>
      <c r="E115" s="128" t="s">
        <v>855</v>
      </c>
      <c r="F115" s="127" t="s">
        <v>72</v>
      </c>
      <c r="G115" s="138">
        <v>1513276.15</v>
      </c>
      <c r="H115" s="120"/>
    </row>
    <row r="116" spans="1:8" ht="12.75">
      <c r="A116" s="201" t="s">
        <v>84</v>
      </c>
      <c r="B116" s="201"/>
      <c r="C116" s="200" t="s">
        <v>507</v>
      </c>
      <c r="D116" s="200" t="s">
        <v>100</v>
      </c>
      <c r="E116" s="199" t="s">
        <v>85</v>
      </c>
      <c r="F116" s="199" t="s">
        <v>85</v>
      </c>
      <c r="G116" s="184">
        <f>G117</f>
        <v>61831601</v>
      </c>
      <c r="H116" s="120"/>
    </row>
    <row r="117" spans="1:8" ht="63.75">
      <c r="A117" s="198" t="s">
        <v>452</v>
      </c>
      <c r="B117" s="198"/>
      <c r="C117" s="182" t="s">
        <v>507</v>
      </c>
      <c r="D117" s="182" t="s">
        <v>100</v>
      </c>
      <c r="E117" s="183" t="s">
        <v>29</v>
      </c>
      <c r="F117" s="196" t="s">
        <v>85</v>
      </c>
      <c r="G117" s="184">
        <f>G118+G131</f>
        <v>61831601</v>
      </c>
      <c r="H117" s="120"/>
    </row>
    <row r="118" spans="1:8" ht="89.25">
      <c r="A118" s="12" t="s">
        <v>45</v>
      </c>
      <c r="B118" s="12"/>
      <c r="C118" s="182" t="s">
        <v>507</v>
      </c>
      <c r="D118" s="182" t="s">
        <v>100</v>
      </c>
      <c r="E118" s="186" t="s">
        <v>217</v>
      </c>
      <c r="F118" s="197" t="s">
        <v>85</v>
      </c>
      <c r="G118" s="184">
        <f>G119+G123+G128</f>
        <v>61631329</v>
      </c>
      <c r="H118" s="120"/>
    </row>
    <row r="119" spans="1:8" ht="25.5">
      <c r="A119" s="18" t="s">
        <v>216</v>
      </c>
      <c r="B119" s="18"/>
      <c r="C119" s="182" t="s">
        <v>507</v>
      </c>
      <c r="D119" s="182" t="s">
        <v>100</v>
      </c>
      <c r="E119" s="183" t="s">
        <v>215</v>
      </c>
      <c r="F119" s="197"/>
      <c r="G119" s="184">
        <f>G120</f>
        <v>1069302.67</v>
      </c>
      <c r="H119" s="120"/>
    </row>
    <row r="120" spans="1:8" ht="38.25">
      <c r="A120" s="21" t="s">
        <v>31</v>
      </c>
      <c r="B120" s="21"/>
      <c r="C120" s="182" t="s">
        <v>507</v>
      </c>
      <c r="D120" s="182" t="s">
        <v>100</v>
      </c>
      <c r="E120" s="183" t="s">
        <v>214</v>
      </c>
      <c r="F120" s="197"/>
      <c r="G120" s="184">
        <f>G121+G122</f>
        <v>1069302.67</v>
      </c>
      <c r="H120" s="120"/>
    </row>
    <row r="121" spans="1:8" ht="25.5" hidden="1">
      <c r="A121" s="13" t="s">
        <v>212</v>
      </c>
      <c r="B121" s="21"/>
      <c r="C121" s="182" t="s">
        <v>507</v>
      </c>
      <c r="D121" s="182" t="s">
        <v>100</v>
      </c>
      <c r="E121" s="183" t="s">
        <v>214</v>
      </c>
      <c r="F121" s="129">
        <v>200</v>
      </c>
      <c r="G121" s="181"/>
      <c r="H121" s="120"/>
    </row>
    <row r="122" spans="1:8" ht="12.75">
      <c r="A122" s="13" t="s">
        <v>75</v>
      </c>
      <c r="B122" s="13"/>
      <c r="C122" s="182" t="s">
        <v>507</v>
      </c>
      <c r="D122" s="182" t="s">
        <v>100</v>
      </c>
      <c r="E122" s="183" t="s">
        <v>214</v>
      </c>
      <c r="F122" s="185">
        <v>800</v>
      </c>
      <c r="G122" s="181">
        <v>1069302.67</v>
      </c>
      <c r="H122" s="120"/>
    </row>
    <row r="123" spans="1:8" ht="38.25">
      <c r="A123" s="18" t="s">
        <v>213</v>
      </c>
      <c r="B123" s="18"/>
      <c r="C123" s="182" t="s">
        <v>507</v>
      </c>
      <c r="D123" s="182" t="s">
        <v>100</v>
      </c>
      <c r="E123" s="183" t="s">
        <v>234</v>
      </c>
      <c r="F123" s="197"/>
      <c r="G123" s="184">
        <f>G126+G124</f>
        <v>60562026.33</v>
      </c>
      <c r="H123" s="120"/>
    </row>
    <row r="124" spans="1:8" ht="38.25">
      <c r="A124" s="94" t="s">
        <v>595</v>
      </c>
      <c r="B124" s="95"/>
      <c r="C124" s="95" t="s">
        <v>507</v>
      </c>
      <c r="D124" s="95" t="s">
        <v>100</v>
      </c>
      <c r="E124" s="96" t="s">
        <v>145</v>
      </c>
      <c r="F124" s="183"/>
      <c r="G124" s="184">
        <f>G125</f>
        <v>57294342</v>
      </c>
      <c r="H124" s="120"/>
    </row>
    <row r="125" spans="1:8" ht="25.5">
      <c r="A125" s="98" t="s">
        <v>212</v>
      </c>
      <c r="B125" s="95"/>
      <c r="C125" s="95" t="s">
        <v>507</v>
      </c>
      <c r="D125" s="95" t="s">
        <v>100</v>
      </c>
      <c r="E125" s="96" t="s">
        <v>145</v>
      </c>
      <c r="F125" s="183">
        <v>200</v>
      </c>
      <c r="G125" s="184">
        <v>57294342</v>
      </c>
      <c r="H125" s="120"/>
    </row>
    <row r="126" spans="1:8" ht="38.25">
      <c r="A126" s="49" t="s">
        <v>595</v>
      </c>
      <c r="B126" s="49"/>
      <c r="C126" s="182" t="s">
        <v>507</v>
      </c>
      <c r="D126" s="182" t="s">
        <v>100</v>
      </c>
      <c r="E126" s="47" t="s">
        <v>594</v>
      </c>
      <c r="F126" s="182" t="s">
        <v>85</v>
      </c>
      <c r="G126" s="184">
        <f>G127</f>
        <v>3267684.33</v>
      </c>
      <c r="H126" s="120"/>
    </row>
    <row r="127" spans="1:8" ht="25.5">
      <c r="A127" s="13" t="s">
        <v>212</v>
      </c>
      <c r="B127" s="13"/>
      <c r="C127" s="182" t="s">
        <v>507</v>
      </c>
      <c r="D127" s="182" t="s">
        <v>100</v>
      </c>
      <c r="E127" s="47" t="s">
        <v>594</v>
      </c>
      <c r="F127" s="182">
        <v>200</v>
      </c>
      <c r="G127" s="181">
        <v>3267684.33</v>
      </c>
      <c r="H127" s="120"/>
    </row>
    <row r="128" spans="1:8" ht="38.25" hidden="1">
      <c r="A128" s="13" t="s">
        <v>63</v>
      </c>
      <c r="B128" s="13"/>
      <c r="C128" s="182" t="s">
        <v>507</v>
      </c>
      <c r="D128" s="182" t="s">
        <v>100</v>
      </c>
      <c r="E128" s="183" t="s">
        <v>64</v>
      </c>
      <c r="F128" s="182"/>
      <c r="G128" s="184">
        <f>G129</f>
        <v>0</v>
      </c>
      <c r="H128" s="120"/>
    </row>
    <row r="129" spans="1:8" ht="24" hidden="1">
      <c r="A129" s="23" t="s">
        <v>707</v>
      </c>
      <c r="B129" s="23"/>
      <c r="C129" s="182" t="s">
        <v>507</v>
      </c>
      <c r="D129" s="182" t="s">
        <v>100</v>
      </c>
      <c r="E129" s="183" t="s">
        <v>708</v>
      </c>
      <c r="F129" s="182"/>
      <c r="G129" s="184">
        <f>G130</f>
        <v>0</v>
      </c>
      <c r="H129" s="120"/>
    </row>
    <row r="130" spans="1:8" ht="25.5" hidden="1">
      <c r="A130" s="212" t="s">
        <v>205</v>
      </c>
      <c r="B130" s="212"/>
      <c r="C130" s="182" t="s">
        <v>507</v>
      </c>
      <c r="D130" s="182" t="s">
        <v>100</v>
      </c>
      <c r="E130" s="183" t="s">
        <v>708</v>
      </c>
      <c r="F130" s="182">
        <v>400</v>
      </c>
      <c r="G130" s="181"/>
      <c r="H130" s="120"/>
    </row>
    <row r="131" spans="1:8" ht="89.25">
      <c r="A131" s="24" t="s">
        <v>244</v>
      </c>
      <c r="B131" s="24"/>
      <c r="C131" s="182" t="s">
        <v>507</v>
      </c>
      <c r="D131" s="182" t="s">
        <v>100</v>
      </c>
      <c r="E131" s="186" t="s">
        <v>30</v>
      </c>
      <c r="F131" s="182"/>
      <c r="G131" s="184">
        <f>G132</f>
        <v>200272</v>
      </c>
      <c r="H131" s="120"/>
    </row>
    <row r="132" spans="1:8" ht="63.75">
      <c r="A132" s="18" t="s">
        <v>97</v>
      </c>
      <c r="B132" s="18"/>
      <c r="C132" s="182" t="s">
        <v>507</v>
      </c>
      <c r="D132" s="182" t="s">
        <v>100</v>
      </c>
      <c r="E132" s="183" t="s">
        <v>423</v>
      </c>
      <c r="F132" s="182"/>
      <c r="G132" s="184">
        <f>G133</f>
        <v>200272</v>
      </c>
      <c r="H132" s="120"/>
    </row>
    <row r="133" spans="1:8" ht="38.25">
      <c r="A133" s="21" t="s">
        <v>596</v>
      </c>
      <c r="B133" s="21"/>
      <c r="C133" s="182" t="s">
        <v>507</v>
      </c>
      <c r="D133" s="182" t="s">
        <v>100</v>
      </c>
      <c r="E133" s="183" t="s">
        <v>331</v>
      </c>
      <c r="F133" s="182"/>
      <c r="G133" s="184">
        <f>G134</f>
        <v>200272</v>
      </c>
      <c r="H133" s="120"/>
    </row>
    <row r="134" spans="1:8" ht="12.75">
      <c r="A134" s="212" t="s">
        <v>75</v>
      </c>
      <c r="B134" s="212"/>
      <c r="C134" s="182" t="s">
        <v>507</v>
      </c>
      <c r="D134" s="182" t="s">
        <v>100</v>
      </c>
      <c r="E134" s="183" t="s">
        <v>331</v>
      </c>
      <c r="F134" s="182">
        <v>800</v>
      </c>
      <c r="G134" s="181">
        <v>200272</v>
      </c>
      <c r="H134" s="120"/>
    </row>
    <row r="135" spans="1:8" ht="25.5">
      <c r="A135" s="64" t="s">
        <v>524</v>
      </c>
      <c r="B135" s="59"/>
      <c r="C135" s="419" t="s">
        <v>507</v>
      </c>
      <c r="D135" s="419">
        <v>12</v>
      </c>
      <c r="E135" s="60"/>
      <c r="F135" s="419"/>
      <c r="G135" s="55">
        <f>G136+G140</f>
        <v>400000</v>
      </c>
      <c r="H135" s="120"/>
    </row>
    <row r="136" spans="1:8" ht="38.25" hidden="1">
      <c r="A136" s="198" t="s">
        <v>46</v>
      </c>
      <c r="B136" s="59"/>
      <c r="C136" s="182" t="s">
        <v>507</v>
      </c>
      <c r="D136" s="182">
        <v>12</v>
      </c>
      <c r="E136" s="183" t="s">
        <v>597</v>
      </c>
      <c r="F136" s="182"/>
      <c r="G136" s="55">
        <f>G137</f>
        <v>0</v>
      </c>
      <c r="H136" s="120"/>
    </row>
    <row r="137" spans="1:8" ht="38.25" hidden="1">
      <c r="A137" s="20" t="s">
        <v>318</v>
      </c>
      <c r="B137" s="59"/>
      <c r="C137" s="182" t="s">
        <v>507</v>
      </c>
      <c r="D137" s="182">
        <v>12</v>
      </c>
      <c r="E137" s="183" t="s">
        <v>599</v>
      </c>
      <c r="F137" s="182"/>
      <c r="G137" s="55">
        <f>G138</f>
        <v>0</v>
      </c>
      <c r="H137" s="120"/>
    </row>
    <row r="138" spans="1:8" ht="38.25" hidden="1">
      <c r="A138" s="20" t="s">
        <v>598</v>
      </c>
      <c r="B138" s="59"/>
      <c r="C138" s="182" t="s">
        <v>507</v>
      </c>
      <c r="D138" s="182">
        <v>12</v>
      </c>
      <c r="E138" s="183" t="s">
        <v>96</v>
      </c>
      <c r="F138" s="182"/>
      <c r="G138" s="55">
        <f>G139</f>
        <v>0</v>
      </c>
      <c r="H138" s="120"/>
    </row>
    <row r="139" spans="1:8" ht="12.75" hidden="1">
      <c r="A139" s="212" t="s">
        <v>75</v>
      </c>
      <c r="B139" s="59"/>
      <c r="C139" s="182" t="s">
        <v>507</v>
      </c>
      <c r="D139" s="182">
        <v>12</v>
      </c>
      <c r="E139" s="183" t="s">
        <v>96</v>
      </c>
      <c r="F139" s="182">
        <v>800</v>
      </c>
      <c r="G139" s="55">
        <v>0</v>
      </c>
      <c r="H139" s="120"/>
    </row>
    <row r="140" spans="1:8" ht="25.5">
      <c r="A140" s="54" t="s">
        <v>593</v>
      </c>
      <c r="B140" s="59"/>
      <c r="C140" s="51" t="s">
        <v>507</v>
      </c>
      <c r="D140" s="51">
        <v>12</v>
      </c>
      <c r="E140" s="47" t="s">
        <v>14</v>
      </c>
      <c r="F140" s="51"/>
      <c r="G140" s="55">
        <f>G141</f>
        <v>400000</v>
      </c>
      <c r="H140" s="120"/>
    </row>
    <row r="141" spans="1:8" ht="25.5">
      <c r="A141" s="50" t="s">
        <v>603</v>
      </c>
      <c r="B141" s="59"/>
      <c r="C141" s="51" t="s">
        <v>507</v>
      </c>
      <c r="D141" s="51">
        <v>12</v>
      </c>
      <c r="E141" s="60" t="s">
        <v>16</v>
      </c>
      <c r="F141" s="51"/>
      <c r="G141" s="55">
        <f>G142+G144</f>
        <v>400000</v>
      </c>
      <c r="H141" s="120"/>
    </row>
    <row r="142" spans="1:8" ht="38.25">
      <c r="A142" s="53" t="s">
        <v>94</v>
      </c>
      <c r="B142" s="59"/>
      <c r="C142" s="51" t="s">
        <v>507</v>
      </c>
      <c r="D142" s="51">
        <v>12</v>
      </c>
      <c r="E142" s="47" t="s">
        <v>95</v>
      </c>
      <c r="F142" s="51"/>
      <c r="G142" s="55">
        <f>G143</f>
        <v>400000</v>
      </c>
      <c r="H142" s="120"/>
    </row>
    <row r="143" spans="1:8" ht="25.5">
      <c r="A143" s="57" t="s">
        <v>212</v>
      </c>
      <c r="B143" s="61"/>
      <c r="C143" s="58" t="s">
        <v>507</v>
      </c>
      <c r="D143" s="58">
        <v>12</v>
      </c>
      <c r="E143" s="62" t="s">
        <v>95</v>
      </c>
      <c r="F143" s="58">
        <v>200</v>
      </c>
      <c r="G143" s="79">
        <v>400000</v>
      </c>
      <c r="H143" s="120"/>
    </row>
    <row r="144" spans="1:8" ht="25.5" hidden="1">
      <c r="A144" s="129" t="s">
        <v>34</v>
      </c>
      <c r="B144" s="396"/>
      <c r="C144" s="71" t="s">
        <v>507</v>
      </c>
      <c r="D144" s="71">
        <v>12</v>
      </c>
      <c r="E144" s="100" t="s">
        <v>325</v>
      </c>
      <c r="F144" s="71"/>
      <c r="G144" s="77">
        <f>G145</f>
        <v>0</v>
      </c>
      <c r="H144" s="120"/>
    </row>
    <row r="145" spans="1:8" ht="25.5" hidden="1">
      <c r="A145" s="73" t="s">
        <v>212</v>
      </c>
      <c r="B145" s="396"/>
      <c r="C145" s="71" t="s">
        <v>507</v>
      </c>
      <c r="D145" s="71">
        <v>12</v>
      </c>
      <c r="E145" s="100" t="s">
        <v>325</v>
      </c>
      <c r="F145" s="71">
        <v>200</v>
      </c>
      <c r="G145" s="77">
        <v>0</v>
      </c>
      <c r="H145" s="120"/>
    </row>
    <row r="146" spans="1:8" ht="12.75">
      <c r="A146" s="161" t="s">
        <v>512</v>
      </c>
      <c r="B146" s="161"/>
      <c r="C146" s="159" t="s">
        <v>620</v>
      </c>
      <c r="D146" s="203" t="s">
        <v>436</v>
      </c>
      <c r="E146" s="159" t="s">
        <v>85</v>
      </c>
      <c r="F146" s="159" t="s">
        <v>85</v>
      </c>
      <c r="G146" s="158">
        <f>G147+G173+G167</f>
        <v>87664320.34</v>
      </c>
      <c r="H146" s="120"/>
    </row>
    <row r="147" spans="1:8" ht="12.75">
      <c r="A147" s="201" t="s">
        <v>219</v>
      </c>
      <c r="B147" s="201"/>
      <c r="C147" s="200" t="s">
        <v>620</v>
      </c>
      <c r="D147" s="220" t="s">
        <v>504</v>
      </c>
      <c r="E147" s="219"/>
      <c r="F147" s="219"/>
      <c r="G147" s="184">
        <f>G148</f>
        <v>70086376.36</v>
      </c>
      <c r="H147" s="120"/>
    </row>
    <row r="148" spans="1:8" ht="63.75">
      <c r="A148" s="198" t="s">
        <v>453</v>
      </c>
      <c r="B148" s="198"/>
      <c r="C148" s="182" t="s">
        <v>620</v>
      </c>
      <c r="D148" s="210" t="s">
        <v>504</v>
      </c>
      <c r="E148" s="183" t="s">
        <v>32</v>
      </c>
      <c r="F148" s="219"/>
      <c r="G148" s="184">
        <f>G149+G163</f>
        <v>70086376.36</v>
      </c>
      <c r="H148" s="120"/>
    </row>
    <row r="149" spans="1:8" ht="89.25">
      <c r="A149" s="12" t="s">
        <v>199</v>
      </c>
      <c r="B149" s="12"/>
      <c r="C149" s="182" t="s">
        <v>620</v>
      </c>
      <c r="D149" s="210" t="s">
        <v>504</v>
      </c>
      <c r="E149" s="183" t="s">
        <v>200</v>
      </c>
      <c r="F149" s="219"/>
      <c r="G149" s="184">
        <f>G153+G150+G160</f>
        <v>69423376.36</v>
      </c>
      <c r="H149" s="120"/>
    </row>
    <row r="150" spans="1:8" ht="33.75">
      <c r="A150" s="421" t="s">
        <v>934</v>
      </c>
      <c r="B150" s="12"/>
      <c r="C150" s="182" t="s">
        <v>620</v>
      </c>
      <c r="D150" s="210" t="s">
        <v>504</v>
      </c>
      <c r="E150" s="128" t="s">
        <v>202</v>
      </c>
      <c r="F150" s="152"/>
      <c r="G150" s="184">
        <f>G151</f>
        <v>30000</v>
      </c>
      <c r="H150" s="120"/>
    </row>
    <row r="151" spans="1:8" ht="22.5">
      <c r="A151" s="422" t="s">
        <v>935</v>
      </c>
      <c r="B151" s="12"/>
      <c r="C151" s="182" t="s">
        <v>620</v>
      </c>
      <c r="D151" s="210" t="s">
        <v>504</v>
      </c>
      <c r="E151" s="128" t="s">
        <v>936</v>
      </c>
      <c r="F151" s="152"/>
      <c r="G151" s="184">
        <f>G152</f>
        <v>30000</v>
      </c>
      <c r="H151" s="120"/>
    </row>
    <row r="152" spans="1:8" ht="25.5">
      <c r="A152" s="423" t="s">
        <v>212</v>
      </c>
      <c r="B152" s="12"/>
      <c r="C152" s="182" t="s">
        <v>620</v>
      </c>
      <c r="D152" s="210" t="s">
        <v>504</v>
      </c>
      <c r="E152" s="128" t="s">
        <v>936</v>
      </c>
      <c r="F152" s="127">
        <v>200</v>
      </c>
      <c r="G152" s="184">
        <v>30000</v>
      </c>
      <c r="H152" s="120"/>
    </row>
    <row r="153" spans="1:8" ht="38.25">
      <c r="A153" s="217" t="s">
        <v>712</v>
      </c>
      <c r="B153" s="217"/>
      <c r="C153" s="182" t="s">
        <v>620</v>
      </c>
      <c r="D153" s="210" t="s">
        <v>504</v>
      </c>
      <c r="E153" s="183" t="s">
        <v>62</v>
      </c>
      <c r="F153" s="219"/>
      <c r="G153" s="184">
        <f>G154+G156+G158</f>
        <v>69303376.36</v>
      </c>
      <c r="H153" s="120"/>
    </row>
    <row r="154" spans="1:8" ht="38.25">
      <c r="A154" s="217" t="s">
        <v>90</v>
      </c>
      <c r="B154" s="217"/>
      <c r="C154" s="182" t="s">
        <v>620</v>
      </c>
      <c r="D154" s="210" t="s">
        <v>504</v>
      </c>
      <c r="E154" s="183" t="s">
        <v>668</v>
      </c>
      <c r="F154" s="219"/>
      <c r="G154" s="184">
        <f>G155</f>
        <v>35871602.67</v>
      </c>
      <c r="H154" s="120"/>
    </row>
    <row r="155" spans="1:8" ht="25.5">
      <c r="A155" s="212" t="s">
        <v>205</v>
      </c>
      <c r="B155" s="217"/>
      <c r="C155" s="182" t="s">
        <v>620</v>
      </c>
      <c r="D155" s="210" t="s">
        <v>504</v>
      </c>
      <c r="E155" s="183" t="s">
        <v>668</v>
      </c>
      <c r="F155" s="182">
        <v>400</v>
      </c>
      <c r="G155" s="184">
        <v>35871602.67</v>
      </c>
      <c r="H155" s="120"/>
    </row>
    <row r="156" spans="1:8" ht="38.25">
      <c r="A156" s="217" t="s">
        <v>91</v>
      </c>
      <c r="B156" s="217"/>
      <c r="C156" s="182" t="s">
        <v>620</v>
      </c>
      <c r="D156" s="210" t="s">
        <v>504</v>
      </c>
      <c r="E156" s="183" t="s">
        <v>669</v>
      </c>
      <c r="F156" s="219"/>
      <c r="G156" s="184">
        <f>G157</f>
        <v>18972534.33</v>
      </c>
      <c r="H156" s="120"/>
    </row>
    <row r="157" spans="1:8" ht="25.5">
      <c r="A157" s="212" t="s">
        <v>205</v>
      </c>
      <c r="B157" s="217"/>
      <c r="C157" s="182" t="s">
        <v>620</v>
      </c>
      <c r="D157" s="210" t="s">
        <v>504</v>
      </c>
      <c r="E157" s="183" t="s">
        <v>669</v>
      </c>
      <c r="F157" s="182">
        <v>400</v>
      </c>
      <c r="G157" s="184">
        <v>18972534.33</v>
      </c>
      <c r="H157" s="120"/>
    </row>
    <row r="158" spans="1:8" ht="76.5">
      <c r="A158" s="17" t="s">
        <v>65</v>
      </c>
      <c r="B158" s="217"/>
      <c r="C158" s="182" t="s">
        <v>620</v>
      </c>
      <c r="D158" s="210" t="s">
        <v>504</v>
      </c>
      <c r="E158" s="183" t="s">
        <v>276</v>
      </c>
      <c r="F158" s="219"/>
      <c r="G158" s="184">
        <f>G159</f>
        <v>14459239.36</v>
      </c>
      <c r="H158" s="120"/>
    </row>
    <row r="159" spans="1:8" ht="25.5">
      <c r="A159" s="212" t="s">
        <v>205</v>
      </c>
      <c r="B159" s="212"/>
      <c r="C159" s="182" t="s">
        <v>620</v>
      </c>
      <c r="D159" s="210" t="s">
        <v>504</v>
      </c>
      <c r="E159" s="183" t="s">
        <v>276</v>
      </c>
      <c r="F159" s="182">
        <v>400</v>
      </c>
      <c r="G159" s="181">
        <v>14459239.36</v>
      </c>
      <c r="H159" s="120"/>
    </row>
    <row r="160" spans="1:8" ht="38.25">
      <c r="A160" s="139" t="s">
        <v>969</v>
      </c>
      <c r="B160" s="212"/>
      <c r="C160" s="127" t="s">
        <v>620</v>
      </c>
      <c r="D160" s="144" t="s">
        <v>504</v>
      </c>
      <c r="E160" s="128" t="s">
        <v>970</v>
      </c>
      <c r="F160" s="127"/>
      <c r="G160" s="138">
        <f>G161</f>
        <v>90000</v>
      </c>
      <c r="H160" s="120"/>
    </row>
    <row r="161" spans="1:8" ht="38.25">
      <c r="A161" s="139" t="s">
        <v>935</v>
      </c>
      <c r="B161" s="212"/>
      <c r="C161" s="127" t="s">
        <v>620</v>
      </c>
      <c r="D161" s="144" t="s">
        <v>504</v>
      </c>
      <c r="E161" s="128" t="s">
        <v>971</v>
      </c>
      <c r="F161" s="127"/>
      <c r="G161" s="138">
        <f>G162</f>
        <v>90000</v>
      </c>
      <c r="H161" s="120"/>
    </row>
    <row r="162" spans="1:8" ht="25.5">
      <c r="A162" s="139" t="s">
        <v>212</v>
      </c>
      <c r="B162" s="212"/>
      <c r="C162" s="127" t="s">
        <v>620</v>
      </c>
      <c r="D162" s="144" t="s">
        <v>504</v>
      </c>
      <c r="E162" s="128" t="s">
        <v>971</v>
      </c>
      <c r="F162" s="127" t="s">
        <v>72</v>
      </c>
      <c r="G162" s="138">
        <v>90000</v>
      </c>
      <c r="H162" s="120"/>
    </row>
    <row r="163" spans="1:8" ht="76.5">
      <c r="A163" s="70" t="s">
        <v>454</v>
      </c>
      <c r="B163" s="12"/>
      <c r="C163" s="182" t="s">
        <v>620</v>
      </c>
      <c r="D163" s="210" t="s">
        <v>504</v>
      </c>
      <c r="E163" s="186" t="s">
        <v>529</v>
      </c>
      <c r="F163" s="219"/>
      <c r="G163" s="184">
        <f>G164</f>
        <v>663000</v>
      </c>
      <c r="H163" s="120"/>
    </row>
    <row r="164" spans="1:8" ht="38.25">
      <c r="A164" s="26" t="s">
        <v>218</v>
      </c>
      <c r="B164" s="26"/>
      <c r="C164" s="182" t="s">
        <v>620</v>
      </c>
      <c r="D164" s="210" t="s">
        <v>504</v>
      </c>
      <c r="E164" s="183" t="s">
        <v>251</v>
      </c>
      <c r="F164" s="219"/>
      <c r="G164" s="184">
        <f>G165</f>
        <v>663000</v>
      </c>
      <c r="H164" s="120"/>
    </row>
    <row r="165" spans="1:8" ht="24">
      <c r="A165" s="23" t="s">
        <v>250</v>
      </c>
      <c r="B165" s="23"/>
      <c r="C165" s="182" t="s">
        <v>620</v>
      </c>
      <c r="D165" s="210" t="s">
        <v>504</v>
      </c>
      <c r="E165" s="183" t="s">
        <v>249</v>
      </c>
      <c r="F165" s="219"/>
      <c r="G165" s="184">
        <f>SUM(G166:G166)</f>
        <v>663000</v>
      </c>
      <c r="H165" s="120"/>
    </row>
    <row r="166" spans="1:8" ht="25.5">
      <c r="A166" s="13" t="s">
        <v>212</v>
      </c>
      <c r="B166" s="13"/>
      <c r="C166" s="182" t="s">
        <v>620</v>
      </c>
      <c r="D166" s="210" t="s">
        <v>504</v>
      </c>
      <c r="E166" s="183" t="s">
        <v>249</v>
      </c>
      <c r="F166" s="182">
        <v>200</v>
      </c>
      <c r="G166" s="181">
        <v>663000</v>
      </c>
      <c r="H166" s="120"/>
    </row>
    <row r="167" spans="1:8" ht="12.75">
      <c r="A167" s="132" t="s">
        <v>894</v>
      </c>
      <c r="B167" s="13"/>
      <c r="C167" s="131" t="s">
        <v>620</v>
      </c>
      <c r="D167" s="131" t="s">
        <v>506</v>
      </c>
      <c r="E167" s="131"/>
      <c r="F167" s="131"/>
      <c r="G167" s="126">
        <f>G168</f>
        <v>364664.94</v>
      </c>
      <c r="H167" s="120"/>
    </row>
    <row r="168" spans="1:8" ht="50.25" customHeight="1">
      <c r="A168" s="130" t="s">
        <v>895</v>
      </c>
      <c r="B168" s="13"/>
      <c r="C168" s="127" t="s">
        <v>620</v>
      </c>
      <c r="D168" s="144" t="s">
        <v>506</v>
      </c>
      <c r="E168" s="128" t="s">
        <v>32</v>
      </c>
      <c r="F168" s="152"/>
      <c r="G168" s="126">
        <f>G169</f>
        <v>364664.94</v>
      </c>
      <c r="H168" s="120"/>
    </row>
    <row r="169" spans="1:8" ht="76.5">
      <c r="A169" s="70" t="s">
        <v>896</v>
      </c>
      <c r="B169" s="13"/>
      <c r="C169" s="127" t="s">
        <v>620</v>
      </c>
      <c r="D169" s="144" t="s">
        <v>506</v>
      </c>
      <c r="E169" s="140" t="s">
        <v>529</v>
      </c>
      <c r="F169" s="152"/>
      <c r="G169" s="126">
        <f>G170</f>
        <v>364664.94</v>
      </c>
      <c r="H169" s="120"/>
    </row>
    <row r="170" spans="1:8" ht="25.5">
      <c r="A170" s="28" t="s">
        <v>897</v>
      </c>
      <c r="B170" s="13"/>
      <c r="C170" s="127" t="s">
        <v>620</v>
      </c>
      <c r="D170" s="144" t="s">
        <v>506</v>
      </c>
      <c r="E170" s="128" t="s">
        <v>899</v>
      </c>
      <c r="F170" s="152"/>
      <c r="G170" s="126">
        <f>G171</f>
        <v>364664.94</v>
      </c>
      <c r="H170" s="120"/>
    </row>
    <row r="171" spans="1:8" ht="12.75">
      <c r="A171" s="28" t="s">
        <v>898</v>
      </c>
      <c r="B171" s="13"/>
      <c r="C171" s="127" t="s">
        <v>620</v>
      </c>
      <c r="D171" s="144" t="s">
        <v>506</v>
      </c>
      <c r="E171" s="128" t="s">
        <v>900</v>
      </c>
      <c r="F171" s="152"/>
      <c r="G171" s="126">
        <f>G172</f>
        <v>364664.94</v>
      </c>
      <c r="H171" s="120"/>
    </row>
    <row r="172" spans="1:8" ht="25.5">
      <c r="A172" s="28" t="s">
        <v>212</v>
      </c>
      <c r="B172" s="13"/>
      <c r="C172" s="127" t="s">
        <v>620</v>
      </c>
      <c r="D172" s="144" t="s">
        <v>506</v>
      </c>
      <c r="E172" s="128" t="s">
        <v>900</v>
      </c>
      <c r="F172" s="127" t="s">
        <v>72</v>
      </c>
      <c r="G172" s="126">
        <v>364664.94</v>
      </c>
      <c r="H172" s="120"/>
    </row>
    <row r="173" spans="1:8" ht="12.75">
      <c r="A173" s="201" t="s">
        <v>533</v>
      </c>
      <c r="B173" s="201"/>
      <c r="C173" s="200" t="s">
        <v>620</v>
      </c>
      <c r="D173" s="200" t="s">
        <v>99</v>
      </c>
      <c r="E173" s="200" t="s">
        <v>85</v>
      </c>
      <c r="F173" s="200" t="s">
        <v>85</v>
      </c>
      <c r="G173" s="184">
        <f>G174+G184+G193</f>
        <v>17213279.04</v>
      </c>
      <c r="H173" s="120"/>
    </row>
    <row r="174" spans="1:8" ht="51.75" customHeight="1">
      <c r="A174" s="198" t="s">
        <v>453</v>
      </c>
      <c r="B174" s="198"/>
      <c r="C174" s="182" t="s">
        <v>620</v>
      </c>
      <c r="D174" s="182" t="s">
        <v>99</v>
      </c>
      <c r="E174" s="183" t="s">
        <v>32</v>
      </c>
      <c r="F174" s="182" t="s">
        <v>85</v>
      </c>
      <c r="G174" s="184">
        <f>G175</f>
        <v>11589350.08</v>
      </c>
      <c r="H174" s="120"/>
    </row>
    <row r="175" spans="1:8" ht="76.5">
      <c r="A175" s="12" t="s">
        <v>454</v>
      </c>
      <c r="B175" s="12"/>
      <c r="C175" s="182" t="s">
        <v>620</v>
      </c>
      <c r="D175" s="182" t="s">
        <v>99</v>
      </c>
      <c r="E175" s="186" t="s">
        <v>529</v>
      </c>
      <c r="F175" s="185" t="s">
        <v>85</v>
      </c>
      <c r="G175" s="184">
        <f>G176</f>
        <v>11589350.08</v>
      </c>
      <c r="H175" s="120"/>
    </row>
    <row r="176" spans="1:8" ht="25.5">
      <c r="A176" s="26" t="s">
        <v>337</v>
      </c>
      <c r="B176" s="26"/>
      <c r="C176" s="182" t="s">
        <v>620</v>
      </c>
      <c r="D176" s="182" t="s">
        <v>99</v>
      </c>
      <c r="E176" s="183" t="s">
        <v>428</v>
      </c>
      <c r="F176" s="185"/>
      <c r="G176" s="184">
        <f>G177+G180+G182</f>
        <v>11589350.08</v>
      </c>
      <c r="H176" s="120"/>
    </row>
    <row r="177" spans="1:8" ht="12.75">
      <c r="A177" s="21" t="s">
        <v>695</v>
      </c>
      <c r="B177" s="21"/>
      <c r="C177" s="182" t="s">
        <v>620</v>
      </c>
      <c r="D177" s="182" t="s">
        <v>99</v>
      </c>
      <c r="E177" s="183" t="s">
        <v>429</v>
      </c>
      <c r="F177" s="182" t="s">
        <v>85</v>
      </c>
      <c r="G177" s="184">
        <f>SUM(G178:G179)</f>
        <v>11589350.08</v>
      </c>
      <c r="H177" s="120"/>
    </row>
    <row r="178" spans="1:8" ht="25.5">
      <c r="A178" s="13" t="s">
        <v>212</v>
      </c>
      <c r="B178" s="13"/>
      <c r="C178" s="182" t="s">
        <v>620</v>
      </c>
      <c r="D178" s="182" t="s">
        <v>99</v>
      </c>
      <c r="E178" s="183" t="s">
        <v>429</v>
      </c>
      <c r="F178" s="182">
        <v>200</v>
      </c>
      <c r="G178" s="181">
        <v>3730774.23</v>
      </c>
      <c r="H178" s="120"/>
    </row>
    <row r="179" spans="1:8" ht="24" customHeight="1">
      <c r="A179" s="13" t="s">
        <v>75</v>
      </c>
      <c r="B179" s="13"/>
      <c r="C179" s="182" t="s">
        <v>620</v>
      </c>
      <c r="D179" s="182" t="s">
        <v>99</v>
      </c>
      <c r="E179" s="183" t="s">
        <v>429</v>
      </c>
      <c r="F179" s="182">
        <v>800</v>
      </c>
      <c r="G179" s="181">
        <v>7858575.85</v>
      </c>
      <c r="H179" s="120"/>
    </row>
    <row r="180" spans="1:8" ht="12.75" hidden="1">
      <c r="A180" s="139" t="s">
        <v>777</v>
      </c>
      <c r="B180" s="13"/>
      <c r="C180" s="127" t="s">
        <v>620</v>
      </c>
      <c r="D180" s="127" t="s">
        <v>99</v>
      </c>
      <c r="E180" s="128" t="s">
        <v>776</v>
      </c>
      <c r="F180" s="127"/>
      <c r="G180" s="138">
        <f>G181</f>
        <v>0</v>
      </c>
      <c r="H180" s="120"/>
    </row>
    <row r="181" spans="1:8" ht="25.5" hidden="1">
      <c r="A181" s="139" t="s">
        <v>212</v>
      </c>
      <c r="B181" s="13"/>
      <c r="C181" s="127" t="s">
        <v>620</v>
      </c>
      <c r="D181" s="127" t="s">
        <v>99</v>
      </c>
      <c r="E181" s="128" t="s">
        <v>776</v>
      </c>
      <c r="F181" s="127">
        <v>200</v>
      </c>
      <c r="G181" s="138"/>
      <c r="H181" s="120"/>
    </row>
    <row r="182" spans="1:8" ht="12.75" hidden="1">
      <c r="A182" s="139" t="s">
        <v>775</v>
      </c>
      <c r="B182" s="13"/>
      <c r="C182" s="127" t="s">
        <v>620</v>
      </c>
      <c r="D182" s="127" t="s">
        <v>99</v>
      </c>
      <c r="E182" s="128" t="s">
        <v>774</v>
      </c>
      <c r="F182" s="127"/>
      <c r="G182" s="138">
        <f>G183</f>
        <v>0</v>
      </c>
      <c r="H182" s="120"/>
    </row>
    <row r="183" spans="1:8" ht="25.5" hidden="1">
      <c r="A183" s="139" t="s">
        <v>212</v>
      </c>
      <c r="B183" s="13"/>
      <c r="C183" s="127" t="s">
        <v>620</v>
      </c>
      <c r="D183" s="127" t="s">
        <v>99</v>
      </c>
      <c r="E183" s="128" t="s">
        <v>774</v>
      </c>
      <c r="F183" s="127">
        <v>200</v>
      </c>
      <c r="G183" s="138"/>
      <c r="H183" s="120"/>
    </row>
    <row r="184" spans="1:8" ht="51">
      <c r="A184" s="198" t="s">
        <v>449</v>
      </c>
      <c r="B184" s="198"/>
      <c r="C184" s="182" t="s">
        <v>620</v>
      </c>
      <c r="D184" s="182" t="s">
        <v>99</v>
      </c>
      <c r="E184" s="183" t="s">
        <v>605</v>
      </c>
      <c r="F184" s="182"/>
      <c r="G184" s="184">
        <f>G185+G187+G190</f>
        <v>5623928.96</v>
      </c>
      <c r="H184" s="120"/>
    </row>
    <row r="185" spans="1:8" ht="51" hidden="1">
      <c r="A185" s="20" t="s">
        <v>375</v>
      </c>
      <c r="B185" s="198"/>
      <c r="C185" s="182" t="s">
        <v>620</v>
      </c>
      <c r="D185" s="182" t="s">
        <v>99</v>
      </c>
      <c r="E185" s="183" t="s">
        <v>376</v>
      </c>
      <c r="F185" s="182"/>
      <c r="G185" s="184">
        <f>G186</f>
        <v>0</v>
      </c>
      <c r="H185" s="120"/>
    </row>
    <row r="186" spans="1:8" ht="12.75" hidden="1">
      <c r="A186" s="13" t="s">
        <v>75</v>
      </c>
      <c r="B186" s="198"/>
      <c r="C186" s="182" t="s">
        <v>620</v>
      </c>
      <c r="D186" s="182" t="s">
        <v>99</v>
      </c>
      <c r="E186" s="183" t="s">
        <v>376</v>
      </c>
      <c r="F186" s="182">
        <v>800</v>
      </c>
      <c r="G186" s="184"/>
      <c r="H186" s="120"/>
    </row>
    <row r="187" spans="1:8" ht="25.5">
      <c r="A187" s="26" t="s">
        <v>672</v>
      </c>
      <c r="B187" s="26"/>
      <c r="C187" s="182" t="s">
        <v>620</v>
      </c>
      <c r="D187" s="182" t="s">
        <v>99</v>
      </c>
      <c r="E187" s="183" t="s">
        <v>320</v>
      </c>
      <c r="F187" s="182"/>
      <c r="G187" s="184">
        <f>G188</f>
        <v>5585925.8</v>
      </c>
      <c r="H187" s="120"/>
    </row>
    <row r="188" spans="1:8" ht="25.5">
      <c r="A188" s="45" t="s">
        <v>322</v>
      </c>
      <c r="B188" s="45"/>
      <c r="C188" s="182" t="s">
        <v>620</v>
      </c>
      <c r="D188" s="182" t="s">
        <v>99</v>
      </c>
      <c r="E188" s="183" t="s">
        <v>321</v>
      </c>
      <c r="F188" s="182"/>
      <c r="G188" s="184">
        <f>G189</f>
        <v>5585925.8</v>
      </c>
      <c r="H188" s="120"/>
    </row>
    <row r="189" spans="1:8" ht="25.5">
      <c r="A189" s="13" t="s">
        <v>212</v>
      </c>
      <c r="B189" s="13"/>
      <c r="C189" s="182" t="s">
        <v>620</v>
      </c>
      <c r="D189" s="182" t="s">
        <v>99</v>
      </c>
      <c r="E189" s="183" t="s">
        <v>321</v>
      </c>
      <c r="F189" s="182">
        <v>200</v>
      </c>
      <c r="G189" s="181">
        <v>5585925.8</v>
      </c>
      <c r="H189" s="120"/>
    </row>
    <row r="190" spans="1:8" ht="30" customHeight="1">
      <c r="A190" s="139" t="s">
        <v>834</v>
      </c>
      <c r="B190" s="13"/>
      <c r="C190" s="127" t="s">
        <v>620</v>
      </c>
      <c r="D190" s="127" t="s">
        <v>99</v>
      </c>
      <c r="E190" s="128" t="s">
        <v>835</v>
      </c>
      <c r="F190" s="127"/>
      <c r="G190" s="181">
        <f>G191</f>
        <v>38003.16</v>
      </c>
      <c r="H190" s="120"/>
    </row>
    <row r="191" spans="1:8" ht="25.5">
      <c r="A191" s="139" t="s">
        <v>836</v>
      </c>
      <c r="B191" s="13"/>
      <c r="C191" s="127" t="s">
        <v>620</v>
      </c>
      <c r="D191" s="127" t="s">
        <v>99</v>
      </c>
      <c r="E191" s="128" t="s">
        <v>837</v>
      </c>
      <c r="F191" s="127"/>
      <c r="G191" s="181">
        <f>G192</f>
        <v>38003.16</v>
      </c>
      <c r="H191" s="120"/>
    </row>
    <row r="192" spans="1:8" ht="25.5">
      <c r="A192" s="139" t="s">
        <v>212</v>
      </c>
      <c r="B192" s="13"/>
      <c r="C192" s="127" t="s">
        <v>620</v>
      </c>
      <c r="D192" s="127" t="s">
        <v>99</v>
      </c>
      <c r="E192" s="128" t="s">
        <v>837</v>
      </c>
      <c r="F192" s="127">
        <v>200</v>
      </c>
      <c r="G192" s="181">
        <v>38003.16</v>
      </c>
      <c r="H192" s="120"/>
    </row>
    <row r="193" spans="1:8" ht="25.5" hidden="1">
      <c r="A193" s="198" t="s">
        <v>593</v>
      </c>
      <c r="B193" s="198"/>
      <c r="C193" s="182" t="s">
        <v>620</v>
      </c>
      <c r="D193" s="182" t="s">
        <v>99</v>
      </c>
      <c r="E193" s="183" t="s">
        <v>14</v>
      </c>
      <c r="F193" s="182"/>
      <c r="G193" s="184">
        <f>G194</f>
        <v>0</v>
      </c>
      <c r="H193" s="120"/>
    </row>
    <row r="194" spans="1:8" ht="25.5" hidden="1">
      <c r="A194" s="12" t="s">
        <v>603</v>
      </c>
      <c r="B194" s="12"/>
      <c r="C194" s="182" t="s">
        <v>620</v>
      </c>
      <c r="D194" s="182" t="s">
        <v>99</v>
      </c>
      <c r="E194" s="183" t="s">
        <v>680</v>
      </c>
      <c r="F194" s="182"/>
      <c r="G194" s="184">
        <f>G195+G202</f>
        <v>0</v>
      </c>
      <c r="H194" s="120"/>
    </row>
    <row r="195" spans="1:8" ht="25.5" hidden="1">
      <c r="A195" s="13" t="s">
        <v>681</v>
      </c>
      <c r="B195" s="13"/>
      <c r="C195" s="182" t="s">
        <v>620</v>
      </c>
      <c r="D195" s="182" t="s">
        <v>99</v>
      </c>
      <c r="E195" s="183" t="s">
        <v>374</v>
      </c>
      <c r="F195" s="182"/>
      <c r="G195" s="416">
        <f>G196+G198+G200</f>
        <v>0</v>
      </c>
      <c r="H195" s="120"/>
    </row>
    <row r="196" spans="1:8" ht="38.25" hidden="1">
      <c r="A196" s="13" t="s">
        <v>48</v>
      </c>
      <c r="B196" s="13"/>
      <c r="C196" s="182" t="s">
        <v>620</v>
      </c>
      <c r="D196" s="182" t="s">
        <v>99</v>
      </c>
      <c r="E196" s="183" t="s">
        <v>47</v>
      </c>
      <c r="F196" s="182"/>
      <c r="G196" s="184">
        <f>G197</f>
        <v>0</v>
      </c>
      <c r="H196" s="120"/>
    </row>
    <row r="197" spans="1:8" ht="25.5" hidden="1">
      <c r="A197" s="13" t="s">
        <v>212</v>
      </c>
      <c r="B197" s="13"/>
      <c r="C197" s="182" t="s">
        <v>620</v>
      </c>
      <c r="D197" s="182" t="s">
        <v>99</v>
      </c>
      <c r="E197" s="183" t="s">
        <v>47</v>
      </c>
      <c r="F197" s="182">
        <v>200</v>
      </c>
      <c r="G197" s="184"/>
      <c r="H197" s="120"/>
    </row>
    <row r="198" spans="1:8" ht="51" hidden="1">
      <c r="A198" s="13" t="s">
        <v>49</v>
      </c>
      <c r="B198" s="13"/>
      <c r="C198" s="182" t="s">
        <v>620</v>
      </c>
      <c r="D198" s="182" t="s">
        <v>99</v>
      </c>
      <c r="E198" s="183" t="s">
        <v>50</v>
      </c>
      <c r="F198" s="182"/>
      <c r="G198" s="184">
        <f>G199</f>
        <v>0</v>
      </c>
      <c r="H198" s="120"/>
    </row>
    <row r="199" spans="1:8" ht="15" customHeight="1" hidden="1">
      <c r="A199" s="13" t="s">
        <v>212</v>
      </c>
      <c r="B199" s="13"/>
      <c r="C199" s="182" t="s">
        <v>620</v>
      </c>
      <c r="D199" s="182" t="s">
        <v>99</v>
      </c>
      <c r="E199" s="183" t="s">
        <v>50</v>
      </c>
      <c r="F199" s="182">
        <v>200</v>
      </c>
      <c r="G199" s="184"/>
      <c r="H199" s="120"/>
    </row>
    <row r="200" spans="1:8" ht="52.5" customHeight="1" hidden="1">
      <c r="A200" s="13" t="s">
        <v>51</v>
      </c>
      <c r="B200" s="13"/>
      <c r="C200" s="182" t="s">
        <v>620</v>
      </c>
      <c r="D200" s="182" t="s">
        <v>99</v>
      </c>
      <c r="E200" s="183" t="s">
        <v>52</v>
      </c>
      <c r="F200" s="182"/>
      <c r="G200" s="184">
        <f>G201</f>
        <v>0</v>
      </c>
      <c r="H200" s="120"/>
    </row>
    <row r="201" spans="1:8" ht="25.5" hidden="1">
      <c r="A201" s="13" t="s">
        <v>212</v>
      </c>
      <c r="B201" s="13"/>
      <c r="C201" s="182" t="s">
        <v>620</v>
      </c>
      <c r="D201" s="182" t="s">
        <v>99</v>
      </c>
      <c r="E201" s="183" t="s">
        <v>52</v>
      </c>
      <c r="F201" s="182">
        <v>200</v>
      </c>
      <c r="G201" s="184"/>
      <c r="H201" s="120"/>
    </row>
    <row r="202" spans="1:8" ht="25.5" hidden="1">
      <c r="A202" s="28" t="s">
        <v>711</v>
      </c>
      <c r="B202" s="28"/>
      <c r="C202" s="182" t="s">
        <v>620</v>
      </c>
      <c r="D202" s="182" t="s">
        <v>99</v>
      </c>
      <c r="E202" s="183" t="s">
        <v>373</v>
      </c>
      <c r="F202" s="182"/>
      <c r="G202" s="184">
        <f>G203+G205+G207</f>
        <v>0</v>
      </c>
      <c r="H202" s="120"/>
    </row>
    <row r="203" spans="1:8" ht="38.25" hidden="1">
      <c r="A203" s="28" t="s">
        <v>53</v>
      </c>
      <c r="B203" s="28"/>
      <c r="C203" s="182" t="s">
        <v>620</v>
      </c>
      <c r="D203" s="182" t="s">
        <v>99</v>
      </c>
      <c r="E203" s="183" t="s">
        <v>54</v>
      </c>
      <c r="F203" s="182"/>
      <c r="G203" s="184">
        <f>G204</f>
        <v>0</v>
      </c>
      <c r="H203" s="120"/>
    </row>
    <row r="204" spans="1:8" ht="25.5" hidden="1">
      <c r="A204" s="13" t="s">
        <v>212</v>
      </c>
      <c r="B204" s="28"/>
      <c r="C204" s="182" t="s">
        <v>620</v>
      </c>
      <c r="D204" s="182" t="s">
        <v>99</v>
      </c>
      <c r="E204" s="183" t="s">
        <v>54</v>
      </c>
      <c r="F204" s="182">
        <v>200</v>
      </c>
      <c r="G204" s="184"/>
      <c r="H204" s="120"/>
    </row>
    <row r="205" spans="1:8" ht="51" hidden="1">
      <c r="A205" s="28" t="s">
        <v>55</v>
      </c>
      <c r="B205" s="28"/>
      <c r="C205" s="182" t="s">
        <v>620</v>
      </c>
      <c r="D205" s="182" t="s">
        <v>99</v>
      </c>
      <c r="E205" s="183" t="s">
        <v>56</v>
      </c>
      <c r="F205" s="182"/>
      <c r="G205" s="184">
        <f>G206</f>
        <v>0</v>
      </c>
      <c r="H205" s="120"/>
    </row>
    <row r="206" spans="1:8" ht="25.5" hidden="1">
      <c r="A206" s="13" t="s">
        <v>212</v>
      </c>
      <c r="B206" s="28"/>
      <c r="C206" s="182" t="s">
        <v>620</v>
      </c>
      <c r="D206" s="182" t="s">
        <v>99</v>
      </c>
      <c r="E206" s="183" t="s">
        <v>56</v>
      </c>
      <c r="F206" s="182">
        <v>200</v>
      </c>
      <c r="G206" s="184"/>
      <c r="H206" s="120"/>
    </row>
    <row r="207" spans="1:8" ht="38.25" hidden="1">
      <c r="A207" s="28" t="s">
        <v>57</v>
      </c>
      <c r="B207" s="28"/>
      <c r="C207" s="182" t="s">
        <v>620</v>
      </c>
      <c r="D207" s="182" t="s">
        <v>99</v>
      </c>
      <c r="E207" s="183" t="s">
        <v>58</v>
      </c>
      <c r="F207" s="182"/>
      <c r="G207" s="184">
        <f>G208</f>
        <v>0</v>
      </c>
      <c r="H207" s="120"/>
    </row>
    <row r="208" spans="1:8" ht="25.5" hidden="1">
      <c r="A208" s="180" t="s">
        <v>212</v>
      </c>
      <c r="B208" s="180"/>
      <c r="C208" s="178" t="s">
        <v>620</v>
      </c>
      <c r="D208" s="178" t="s">
        <v>99</v>
      </c>
      <c r="E208" s="179" t="s">
        <v>58</v>
      </c>
      <c r="F208" s="178">
        <v>200</v>
      </c>
      <c r="G208" s="177"/>
      <c r="H208" s="120"/>
    </row>
    <row r="209" spans="1:8" ht="12.75" hidden="1">
      <c r="A209" s="161" t="s">
        <v>311</v>
      </c>
      <c r="B209" s="218"/>
      <c r="C209" s="80" t="s">
        <v>508</v>
      </c>
      <c r="D209" s="81"/>
      <c r="E209" s="82"/>
      <c r="F209" s="81"/>
      <c r="G209" s="417">
        <f>G210</f>
        <v>0</v>
      </c>
      <c r="H209" s="120"/>
    </row>
    <row r="210" spans="1:8" ht="25.5" hidden="1">
      <c r="A210" s="53" t="s">
        <v>93</v>
      </c>
      <c r="B210" s="13"/>
      <c r="C210" s="63" t="s">
        <v>508</v>
      </c>
      <c r="D210" s="63" t="s">
        <v>620</v>
      </c>
      <c r="E210" s="47"/>
      <c r="F210" s="51"/>
      <c r="G210" s="55">
        <f>G211</f>
        <v>0</v>
      </c>
      <c r="H210" s="120"/>
    </row>
    <row r="211" spans="1:8" ht="63.75" hidden="1">
      <c r="A211" s="54" t="s">
        <v>453</v>
      </c>
      <c r="B211" s="13"/>
      <c r="C211" s="63" t="s">
        <v>508</v>
      </c>
      <c r="D211" s="63" t="s">
        <v>620</v>
      </c>
      <c r="E211" s="47" t="s">
        <v>32</v>
      </c>
      <c r="F211" s="51"/>
      <c r="G211" s="55">
        <f>G212</f>
        <v>0</v>
      </c>
      <c r="H211" s="120"/>
    </row>
    <row r="212" spans="1:8" ht="38.25" hidden="1">
      <c r="A212" s="50" t="s">
        <v>92</v>
      </c>
      <c r="B212" s="13"/>
      <c r="C212" s="63" t="s">
        <v>508</v>
      </c>
      <c r="D212" s="63" t="s">
        <v>620</v>
      </c>
      <c r="E212" s="60" t="s">
        <v>312</v>
      </c>
      <c r="F212" s="51"/>
      <c r="G212" s="55">
        <f>G213</f>
        <v>0</v>
      </c>
      <c r="H212" s="120"/>
    </row>
    <row r="213" spans="1:8" ht="25.5" hidden="1">
      <c r="A213" s="26" t="s">
        <v>313</v>
      </c>
      <c r="B213" s="13"/>
      <c r="C213" s="63" t="s">
        <v>508</v>
      </c>
      <c r="D213" s="63" t="s">
        <v>620</v>
      </c>
      <c r="E213" s="47" t="s">
        <v>314</v>
      </c>
      <c r="F213" s="51"/>
      <c r="G213" s="55">
        <f>G214</f>
        <v>0</v>
      </c>
      <c r="H213" s="120"/>
    </row>
    <row r="214" spans="1:8" ht="25.5" hidden="1">
      <c r="A214" s="57" t="s">
        <v>212</v>
      </c>
      <c r="B214" s="180"/>
      <c r="C214" s="83" t="s">
        <v>508</v>
      </c>
      <c r="D214" s="83" t="s">
        <v>620</v>
      </c>
      <c r="E214" s="62" t="s">
        <v>314</v>
      </c>
      <c r="F214" s="58">
        <v>200</v>
      </c>
      <c r="G214" s="79"/>
      <c r="H214" s="120"/>
    </row>
    <row r="215" spans="1:8" ht="12.75">
      <c r="A215" s="161" t="s">
        <v>534</v>
      </c>
      <c r="B215" s="161"/>
      <c r="C215" s="159" t="s">
        <v>621</v>
      </c>
      <c r="D215" s="203" t="s">
        <v>436</v>
      </c>
      <c r="E215" s="159" t="s">
        <v>85</v>
      </c>
      <c r="F215" s="159" t="s">
        <v>85</v>
      </c>
      <c r="G215" s="158">
        <f>G216+G229+G272+G284+G299</f>
        <v>435121424.11</v>
      </c>
      <c r="H215" s="120"/>
    </row>
    <row r="216" spans="1:8" ht="12.75">
      <c r="A216" s="201" t="s">
        <v>535</v>
      </c>
      <c r="B216" s="201"/>
      <c r="C216" s="200" t="s">
        <v>621</v>
      </c>
      <c r="D216" s="200" t="s">
        <v>504</v>
      </c>
      <c r="E216" s="200" t="s">
        <v>85</v>
      </c>
      <c r="F216" s="200" t="s">
        <v>85</v>
      </c>
      <c r="G216" s="184">
        <f>G217</f>
        <v>100789702.11</v>
      </c>
      <c r="H216" s="120"/>
    </row>
    <row r="217" spans="1:8" ht="38.25">
      <c r="A217" s="198" t="s">
        <v>261</v>
      </c>
      <c r="B217" s="198"/>
      <c r="C217" s="182" t="s">
        <v>621</v>
      </c>
      <c r="D217" s="182" t="s">
        <v>504</v>
      </c>
      <c r="E217" s="183" t="s">
        <v>530</v>
      </c>
      <c r="F217" s="182" t="s">
        <v>85</v>
      </c>
      <c r="G217" s="184">
        <f>G218</f>
        <v>100789702.11</v>
      </c>
      <c r="H217" s="120"/>
    </row>
    <row r="218" spans="1:8" ht="51">
      <c r="A218" s="12" t="s">
        <v>262</v>
      </c>
      <c r="B218" s="12"/>
      <c r="C218" s="182" t="s">
        <v>621</v>
      </c>
      <c r="D218" s="182" t="s">
        <v>504</v>
      </c>
      <c r="E218" s="186" t="s">
        <v>531</v>
      </c>
      <c r="F218" s="185" t="s">
        <v>85</v>
      </c>
      <c r="G218" s="184">
        <f>G219</f>
        <v>100789702.11</v>
      </c>
      <c r="H218" s="120"/>
    </row>
    <row r="219" spans="1:8" ht="25.5">
      <c r="A219" s="17" t="s">
        <v>430</v>
      </c>
      <c r="B219" s="17"/>
      <c r="C219" s="182" t="s">
        <v>621</v>
      </c>
      <c r="D219" s="182" t="s">
        <v>504</v>
      </c>
      <c r="E219" s="183" t="s">
        <v>532</v>
      </c>
      <c r="F219" s="185"/>
      <c r="G219" s="184">
        <f>G220+G223+G227</f>
        <v>100789702.11</v>
      </c>
      <c r="H219" s="120"/>
    </row>
    <row r="220" spans="1:8" ht="90" customHeight="1">
      <c r="A220" s="13" t="s">
        <v>282</v>
      </c>
      <c r="B220" s="13"/>
      <c r="C220" s="182" t="s">
        <v>621</v>
      </c>
      <c r="D220" s="182" t="s">
        <v>504</v>
      </c>
      <c r="E220" s="183" t="s">
        <v>283</v>
      </c>
      <c r="F220" s="182" t="s">
        <v>85</v>
      </c>
      <c r="G220" s="184">
        <f>SUM(G221:G222)</f>
        <v>55488082</v>
      </c>
      <c r="H220" s="120"/>
    </row>
    <row r="221" spans="1:8" ht="63.75">
      <c r="A221" s="13" t="s">
        <v>698</v>
      </c>
      <c r="B221" s="13"/>
      <c r="C221" s="182" t="s">
        <v>621</v>
      </c>
      <c r="D221" s="182" t="s">
        <v>504</v>
      </c>
      <c r="E221" s="183" t="s">
        <v>283</v>
      </c>
      <c r="F221" s="182" t="s">
        <v>565</v>
      </c>
      <c r="G221" s="181">
        <v>55063202</v>
      </c>
      <c r="H221" s="120"/>
    </row>
    <row r="222" spans="1:8" ht="25.5">
      <c r="A222" s="13" t="s">
        <v>212</v>
      </c>
      <c r="B222" s="13"/>
      <c r="C222" s="182" t="s">
        <v>621</v>
      </c>
      <c r="D222" s="182" t="s">
        <v>504</v>
      </c>
      <c r="E222" s="183" t="s">
        <v>283</v>
      </c>
      <c r="F222" s="182" t="s">
        <v>72</v>
      </c>
      <c r="G222" s="181">
        <v>424880</v>
      </c>
      <c r="H222" s="120"/>
    </row>
    <row r="223" spans="1:8" ht="25.5">
      <c r="A223" s="185" t="s">
        <v>468</v>
      </c>
      <c r="B223" s="185"/>
      <c r="C223" s="182" t="s">
        <v>621</v>
      </c>
      <c r="D223" s="182" t="s">
        <v>504</v>
      </c>
      <c r="E223" s="183" t="s">
        <v>284</v>
      </c>
      <c r="F223" s="182"/>
      <c r="G223" s="184">
        <f>SUM(G224:G226)</f>
        <v>45301620.11</v>
      </c>
      <c r="H223" s="120"/>
    </row>
    <row r="224" spans="1:8" ht="63.75">
      <c r="A224" s="13" t="s">
        <v>698</v>
      </c>
      <c r="B224" s="13"/>
      <c r="C224" s="182" t="s">
        <v>621</v>
      </c>
      <c r="D224" s="182" t="s">
        <v>504</v>
      </c>
      <c r="E224" s="183" t="s">
        <v>284</v>
      </c>
      <c r="F224" s="182">
        <v>100</v>
      </c>
      <c r="G224" s="181">
        <v>18469977</v>
      </c>
      <c r="H224" s="120"/>
    </row>
    <row r="225" spans="1:8" ht="25.5">
      <c r="A225" s="13" t="s">
        <v>212</v>
      </c>
      <c r="B225" s="13"/>
      <c r="C225" s="182" t="s">
        <v>621</v>
      </c>
      <c r="D225" s="182" t="s">
        <v>504</v>
      </c>
      <c r="E225" s="183" t="s">
        <v>284</v>
      </c>
      <c r="F225" s="182">
        <v>200</v>
      </c>
      <c r="G225" s="181">
        <v>24551812.11</v>
      </c>
      <c r="H225" s="120"/>
    </row>
    <row r="226" spans="1:8" ht="12.75">
      <c r="A226" s="13" t="s">
        <v>75</v>
      </c>
      <c r="B226" s="13"/>
      <c r="C226" s="182" t="s">
        <v>621</v>
      </c>
      <c r="D226" s="182" t="s">
        <v>504</v>
      </c>
      <c r="E226" s="183" t="s">
        <v>284</v>
      </c>
      <c r="F226" s="182">
        <v>800</v>
      </c>
      <c r="G226" s="181">
        <v>2279831</v>
      </c>
      <c r="H226" s="120"/>
    </row>
    <row r="227" spans="1:8" ht="38.25" hidden="1">
      <c r="A227" s="150" t="s">
        <v>146</v>
      </c>
      <c r="B227" s="13"/>
      <c r="C227" s="148" t="s">
        <v>621</v>
      </c>
      <c r="D227" s="148" t="s">
        <v>504</v>
      </c>
      <c r="E227" s="149" t="s">
        <v>147</v>
      </c>
      <c r="F227" s="148"/>
      <c r="G227" s="181">
        <f>G228</f>
        <v>0</v>
      </c>
      <c r="H227" s="120"/>
    </row>
    <row r="228" spans="1:8" ht="25.5" hidden="1">
      <c r="A228" s="111" t="s">
        <v>148</v>
      </c>
      <c r="B228" s="13"/>
      <c r="C228" s="148" t="s">
        <v>621</v>
      </c>
      <c r="D228" s="148" t="s">
        <v>504</v>
      </c>
      <c r="E228" s="149" t="s">
        <v>147</v>
      </c>
      <c r="F228" s="148">
        <v>200</v>
      </c>
      <c r="G228" s="181"/>
      <c r="H228" s="120"/>
    </row>
    <row r="229" spans="1:8" ht="12.75">
      <c r="A229" s="201" t="s">
        <v>536</v>
      </c>
      <c r="B229" s="201"/>
      <c r="C229" s="200" t="s">
        <v>621</v>
      </c>
      <c r="D229" s="200" t="s">
        <v>506</v>
      </c>
      <c r="E229" s="200" t="s">
        <v>85</v>
      </c>
      <c r="F229" s="200" t="s">
        <v>85</v>
      </c>
      <c r="G229" s="184">
        <f>G230</f>
        <v>304509674</v>
      </c>
      <c r="H229" s="120"/>
    </row>
    <row r="230" spans="1:8" ht="38.25">
      <c r="A230" s="198" t="s">
        <v>263</v>
      </c>
      <c r="B230" s="198"/>
      <c r="C230" s="182" t="s">
        <v>621</v>
      </c>
      <c r="D230" s="182" t="s">
        <v>506</v>
      </c>
      <c r="E230" s="183" t="s">
        <v>530</v>
      </c>
      <c r="F230" s="182" t="s">
        <v>85</v>
      </c>
      <c r="G230" s="184">
        <f>G231+G268</f>
        <v>304509674</v>
      </c>
      <c r="H230" s="120"/>
    </row>
    <row r="231" spans="1:8" ht="51">
      <c r="A231" s="12" t="s">
        <v>262</v>
      </c>
      <c r="B231" s="12"/>
      <c r="C231" s="182" t="s">
        <v>621</v>
      </c>
      <c r="D231" s="182" t="s">
        <v>506</v>
      </c>
      <c r="E231" s="183" t="s">
        <v>531</v>
      </c>
      <c r="F231" s="185" t="s">
        <v>85</v>
      </c>
      <c r="G231" s="184">
        <f>G232+G239+G265+G237+G250</f>
        <v>304509674</v>
      </c>
      <c r="H231" s="120"/>
    </row>
    <row r="232" spans="1:8" ht="25.5">
      <c r="A232" s="17" t="s">
        <v>432</v>
      </c>
      <c r="B232" s="17"/>
      <c r="C232" s="182" t="s">
        <v>621</v>
      </c>
      <c r="D232" s="182" t="s">
        <v>506</v>
      </c>
      <c r="E232" s="183" t="s">
        <v>285</v>
      </c>
      <c r="F232" s="185"/>
      <c r="G232" s="184">
        <f>G233+G235</f>
        <v>118281074</v>
      </c>
      <c r="H232" s="120"/>
    </row>
    <row r="233" spans="1:8" ht="102">
      <c r="A233" s="13" t="s">
        <v>648</v>
      </c>
      <c r="B233" s="13"/>
      <c r="C233" s="182" t="s">
        <v>621</v>
      </c>
      <c r="D233" s="182" t="s">
        <v>506</v>
      </c>
      <c r="E233" s="183" t="s">
        <v>286</v>
      </c>
      <c r="F233" s="182" t="s">
        <v>85</v>
      </c>
      <c r="G233" s="184">
        <f>G234</f>
        <v>96274514</v>
      </c>
      <c r="H233" s="120"/>
    </row>
    <row r="234" spans="1:8" ht="31.5" customHeight="1">
      <c r="A234" s="13" t="s">
        <v>88</v>
      </c>
      <c r="B234" s="13"/>
      <c r="C234" s="182" t="s">
        <v>621</v>
      </c>
      <c r="D234" s="182" t="s">
        <v>506</v>
      </c>
      <c r="E234" s="183" t="s">
        <v>286</v>
      </c>
      <c r="F234" s="182">
        <v>600</v>
      </c>
      <c r="G234" s="181">
        <v>96274514</v>
      </c>
      <c r="H234" s="120"/>
    </row>
    <row r="235" spans="1:8" ht="25.5">
      <c r="A235" s="185" t="s">
        <v>468</v>
      </c>
      <c r="B235" s="185"/>
      <c r="C235" s="182" t="s">
        <v>621</v>
      </c>
      <c r="D235" s="182" t="s">
        <v>506</v>
      </c>
      <c r="E235" s="183" t="s">
        <v>287</v>
      </c>
      <c r="F235" s="182"/>
      <c r="G235" s="184">
        <f>G236</f>
        <v>22006560</v>
      </c>
      <c r="H235" s="120"/>
    </row>
    <row r="236" spans="1:8" ht="30" customHeight="1">
      <c r="A236" s="13" t="s">
        <v>88</v>
      </c>
      <c r="B236" s="13"/>
      <c r="C236" s="182" t="s">
        <v>621</v>
      </c>
      <c r="D236" s="182" t="s">
        <v>506</v>
      </c>
      <c r="E236" s="183" t="s">
        <v>287</v>
      </c>
      <c r="F236" s="182">
        <v>600</v>
      </c>
      <c r="G236" s="181">
        <v>22006560</v>
      </c>
      <c r="H236" s="120"/>
    </row>
    <row r="237" spans="1:8" ht="38.25">
      <c r="A237" s="13" t="s">
        <v>483</v>
      </c>
      <c r="B237" s="212"/>
      <c r="C237" s="182" t="s">
        <v>621</v>
      </c>
      <c r="D237" s="182" t="s">
        <v>506</v>
      </c>
      <c r="E237" s="183" t="s">
        <v>906</v>
      </c>
      <c r="F237" s="182"/>
      <c r="G237" s="181">
        <f>G238</f>
        <v>6473312</v>
      </c>
      <c r="H237" s="120"/>
    </row>
    <row r="238" spans="1:8" ht="28.5" customHeight="1">
      <c r="A238" s="13" t="s">
        <v>88</v>
      </c>
      <c r="B238" s="212"/>
      <c r="C238" s="182" t="s">
        <v>621</v>
      </c>
      <c r="D238" s="182" t="s">
        <v>506</v>
      </c>
      <c r="E238" s="183" t="s">
        <v>906</v>
      </c>
      <c r="F238" s="182">
        <v>600</v>
      </c>
      <c r="G238" s="181">
        <v>6473312</v>
      </c>
      <c r="H238" s="120"/>
    </row>
    <row r="239" spans="1:8" ht="25.5">
      <c r="A239" s="26" t="s">
        <v>433</v>
      </c>
      <c r="B239" s="26"/>
      <c r="C239" s="182" t="s">
        <v>621</v>
      </c>
      <c r="D239" s="182" t="s">
        <v>506</v>
      </c>
      <c r="E239" s="183" t="s">
        <v>288</v>
      </c>
      <c r="F239" s="182"/>
      <c r="G239" s="181">
        <f>G240+G244+G246+G248+G263+G258+G260+G242</f>
        <v>20682818</v>
      </c>
      <c r="H239" s="120"/>
    </row>
    <row r="240" spans="1:8" ht="51">
      <c r="A240" s="26" t="s">
        <v>371</v>
      </c>
      <c r="B240" s="26"/>
      <c r="C240" s="182" t="s">
        <v>621</v>
      </c>
      <c r="D240" s="182" t="s">
        <v>506</v>
      </c>
      <c r="E240" s="183" t="s">
        <v>372</v>
      </c>
      <c r="F240" s="182"/>
      <c r="G240" s="181">
        <f>G241</f>
        <v>6304413</v>
      </c>
      <c r="H240" s="120"/>
    </row>
    <row r="241" spans="1:8" ht="30.75" customHeight="1">
      <c r="A241" s="13" t="s">
        <v>88</v>
      </c>
      <c r="B241" s="26"/>
      <c r="C241" s="182" t="s">
        <v>621</v>
      </c>
      <c r="D241" s="182" t="s">
        <v>506</v>
      </c>
      <c r="E241" s="183" t="s">
        <v>372</v>
      </c>
      <c r="F241" s="182">
        <v>600</v>
      </c>
      <c r="G241" s="181">
        <v>6304413</v>
      </c>
      <c r="H241" s="120"/>
    </row>
    <row r="242" spans="1:8" ht="25.5" hidden="1">
      <c r="A242" s="49" t="s">
        <v>682</v>
      </c>
      <c r="B242" s="26"/>
      <c r="C242" s="127" t="s">
        <v>621</v>
      </c>
      <c r="D242" s="127" t="s">
        <v>506</v>
      </c>
      <c r="E242" s="128" t="s">
        <v>683</v>
      </c>
      <c r="F242" s="127"/>
      <c r="G242" s="126">
        <f>G243</f>
        <v>0</v>
      </c>
      <c r="H242" s="120"/>
    </row>
    <row r="243" spans="1:8" ht="27.75" customHeight="1" hidden="1">
      <c r="A243" s="139" t="s">
        <v>88</v>
      </c>
      <c r="B243" s="26"/>
      <c r="C243" s="127" t="s">
        <v>621</v>
      </c>
      <c r="D243" s="127" t="s">
        <v>506</v>
      </c>
      <c r="E243" s="128" t="s">
        <v>683</v>
      </c>
      <c r="F243" s="127">
        <v>600</v>
      </c>
      <c r="G243" s="138"/>
      <c r="H243" s="120"/>
    </row>
    <row r="244" spans="1:8" ht="63.75">
      <c r="A244" s="48" t="s">
        <v>709</v>
      </c>
      <c r="B244" s="48"/>
      <c r="C244" s="182" t="s">
        <v>621</v>
      </c>
      <c r="D244" s="182" t="s">
        <v>506</v>
      </c>
      <c r="E244" s="183" t="s">
        <v>710</v>
      </c>
      <c r="F244" s="182"/>
      <c r="G244" s="184">
        <f>G245</f>
        <v>318065</v>
      </c>
      <c r="H244" s="120"/>
    </row>
    <row r="245" spans="1:8" ht="30.75" customHeight="1">
      <c r="A245" s="212" t="s">
        <v>88</v>
      </c>
      <c r="B245" s="212"/>
      <c r="C245" s="182" t="s">
        <v>621</v>
      </c>
      <c r="D245" s="182" t="s">
        <v>506</v>
      </c>
      <c r="E245" s="183" t="s">
        <v>710</v>
      </c>
      <c r="F245" s="182">
        <v>600</v>
      </c>
      <c r="G245" s="181">
        <v>318065</v>
      </c>
      <c r="H245" s="120"/>
    </row>
    <row r="246" spans="1:8" ht="63.75">
      <c r="A246" s="25" t="s">
        <v>279</v>
      </c>
      <c r="B246" s="25"/>
      <c r="C246" s="182" t="s">
        <v>621</v>
      </c>
      <c r="D246" s="182" t="s">
        <v>506</v>
      </c>
      <c r="E246" s="183" t="s">
        <v>289</v>
      </c>
      <c r="F246" s="182"/>
      <c r="G246" s="184">
        <f>G247</f>
        <v>2127215</v>
      </c>
      <c r="H246" s="120"/>
    </row>
    <row r="247" spans="1:8" ht="34.5" customHeight="1">
      <c r="A247" s="212" t="s">
        <v>88</v>
      </c>
      <c r="B247" s="212"/>
      <c r="C247" s="182" t="s">
        <v>621</v>
      </c>
      <c r="D247" s="182" t="s">
        <v>506</v>
      </c>
      <c r="E247" s="183" t="s">
        <v>289</v>
      </c>
      <c r="F247" s="182">
        <v>600</v>
      </c>
      <c r="G247" s="181">
        <v>2127215</v>
      </c>
      <c r="H247" s="120"/>
    </row>
    <row r="248" spans="1:8" ht="25.5">
      <c r="A248" s="185" t="s">
        <v>468</v>
      </c>
      <c r="B248" s="212"/>
      <c r="C248" s="182" t="s">
        <v>621</v>
      </c>
      <c r="D248" s="182" t="s">
        <v>506</v>
      </c>
      <c r="E248" s="183" t="s">
        <v>370</v>
      </c>
      <c r="F248" s="182"/>
      <c r="G248" s="181">
        <f>G249</f>
        <v>4636171</v>
      </c>
      <c r="H248" s="120"/>
    </row>
    <row r="249" spans="1:8" ht="25.5" customHeight="1">
      <c r="A249" s="212" t="s">
        <v>88</v>
      </c>
      <c r="B249" s="212"/>
      <c r="C249" s="182" t="s">
        <v>621</v>
      </c>
      <c r="D249" s="182" t="s">
        <v>506</v>
      </c>
      <c r="E249" s="183" t="s">
        <v>370</v>
      </c>
      <c r="F249" s="182">
        <v>600</v>
      </c>
      <c r="G249" s="181">
        <v>4636171</v>
      </c>
      <c r="H249" s="120"/>
    </row>
    <row r="250" spans="1:8" ht="90.75" customHeight="1">
      <c r="A250" s="28" t="s">
        <v>910</v>
      </c>
      <c r="B250" s="212"/>
      <c r="C250" s="127" t="s">
        <v>621</v>
      </c>
      <c r="D250" s="127" t="s">
        <v>506</v>
      </c>
      <c r="E250" s="128" t="s">
        <v>912</v>
      </c>
      <c r="F250" s="127"/>
      <c r="G250" s="138">
        <f>G251+G255+G253</f>
        <v>159072470</v>
      </c>
      <c r="H250" s="120"/>
    </row>
    <row r="251" spans="1:8" ht="63.75">
      <c r="A251" s="377" t="s">
        <v>980</v>
      </c>
      <c r="B251" s="212"/>
      <c r="C251" s="127" t="s">
        <v>621</v>
      </c>
      <c r="D251" s="127" t="s">
        <v>506</v>
      </c>
      <c r="E251" s="128" t="s">
        <v>981</v>
      </c>
      <c r="F251" s="127"/>
      <c r="G251" s="138">
        <f>G252</f>
        <v>153886322</v>
      </c>
      <c r="H251" s="120"/>
    </row>
    <row r="252" spans="1:8" ht="30.75" customHeight="1">
      <c r="A252" s="139" t="s">
        <v>88</v>
      </c>
      <c r="B252" s="212"/>
      <c r="C252" s="127" t="s">
        <v>621</v>
      </c>
      <c r="D252" s="127" t="s">
        <v>506</v>
      </c>
      <c r="E252" s="128" t="s">
        <v>981</v>
      </c>
      <c r="F252" s="127" t="s">
        <v>77</v>
      </c>
      <c r="G252" s="138">
        <f>3072377+150813945</f>
        <v>153886322</v>
      </c>
      <c r="H252" s="120"/>
    </row>
    <row r="253" spans="1:8" ht="38.25">
      <c r="A253" s="139" t="s">
        <v>918</v>
      </c>
      <c r="B253" s="212"/>
      <c r="C253" s="127" t="s">
        <v>621</v>
      </c>
      <c r="D253" s="127" t="s">
        <v>506</v>
      </c>
      <c r="E253" s="128" t="s">
        <v>919</v>
      </c>
      <c r="F253" s="127"/>
      <c r="G253" s="138">
        <f>G254</f>
        <v>5082425</v>
      </c>
      <c r="H253" s="120"/>
    </row>
    <row r="254" spans="1:8" ht="30" customHeight="1">
      <c r="A254" s="139" t="s">
        <v>88</v>
      </c>
      <c r="B254" s="212"/>
      <c r="C254" s="127" t="s">
        <v>621</v>
      </c>
      <c r="D254" s="127" t="s">
        <v>506</v>
      </c>
      <c r="E254" s="128" t="s">
        <v>919</v>
      </c>
      <c r="F254" s="127">
        <v>600</v>
      </c>
      <c r="G254" s="138">
        <v>5082425</v>
      </c>
      <c r="H254" s="120"/>
    </row>
    <row r="255" spans="1:8" ht="38.25">
      <c r="A255" s="397" t="s">
        <v>911</v>
      </c>
      <c r="B255" s="212"/>
      <c r="C255" s="127" t="s">
        <v>621</v>
      </c>
      <c r="D255" s="127" t="s">
        <v>506</v>
      </c>
      <c r="E255" s="128" t="s">
        <v>913</v>
      </c>
      <c r="F255" s="127"/>
      <c r="G255" s="138">
        <f>G256</f>
        <v>103723</v>
      </c>
      <c r="H255" s="120"/>
    </row>
    <row r="256" spans="1:8" ht="28.5" customHeight="1">
      <c r="A256" s="139" t="s">
        <v>88</v>
      </c>
      <c r="B256" s="212"/>
      <c r="C256" s="127" t="s">
        <v>621</v>
      </c>
      <c r="D256" s="127" t="s">
        <v>506</v>
      </c>
      <c r="E256" s="128" t="s">
        <v>913</v>
      </c>
      <c r="F256" s="127" t="s">
        <v>77</v>
      </c>
      <c r="G256" s="138">
        <v>103723</v>
      </c>
      <c r="H256" s="120"/>
    </row>
    <row r="257" spans="1:8" ht="12.75">
      <c r="A257" s="376" t="s">
        <v>713</v>
      </c>
      <c r="B257" s="212"/>
      <c r="C257" s="148" t="s">
        <v>621</v>
      </c>
      <c r="D257" s="148" t="s">
        <v>506</v>
      </c>
      <c r="E257" s="149" t="s">
        <v>315</v>
      </c>
      <c r="F257" s="148"/>
      <c r="G257" s="138">
        <f>G258</f>
        <v>3423556</v>
      </c>
      <c r="H257" s="120"/>
    </row>
    <row r="258" spans="1:8" ht="63.75">
      <c r="A258" s="376" t="s">
        <v>888</v>
      </c>
      <c r="B258" s="212"/>
      <c r="C258" s="148" t="s">
        <v>621</v>
      </c>
      <c r="D258" s="148" t="s">
        <v>506</v>
      </c>
      <c r="E258" s="149" t="s">
        <v>316</v>
      </c>
      <c r="F258" s="148"/>
      <c r="G258" s="138">
        <f>G259</f>
        <v>3423556</v>
      </c>
      <c r="H258" s="120"/>
    </row>
    <row r="259" spans="1:8" ht="38.25">
      <c r="A259" s="292" t="s">
        <v>88</v>
      </c>
      <c r="B259" s="212"/>
      <c r="C259" s="148" t="s">
        <v>621</v>
      </c>
      <c r="D259" s="148" t="s">
        <v>506</v>
      </c>
      <c r="E259" s="149" t="s">
        <v>316</v>
      </c>
      <c r="F259" s="148">
        <v>600</v>
      </c>
      <c r="G259" s="138">
        <f>68470+3355086</f>
        <v>3423556</v>
      </c>
      <c r="H259" s="120"/>
    </row>
    <row r="260" spans="1:8" ht="25.5">
      <c r="A260" s="376" t="s">
        <v>105</v>
      </c>
      <c r="B260" s="212"/>
      <c r="C260" s="148" t="s">
        <v>621</v>
      </c>
      <c r="D260" s="148" t="s">
        <v>506</v>
      </c>
      <c r="E260" s="149" t="s">
        <v>60</v>
      </c>
      <c r="F260" s="148"/>
      <c r="G260" s="138">
        <f>G261</f>
        <v>3873398</v>
      </c>
      <c r="H260" s="120"/>
    </row>
    <row r="261" spans="1:8" ht="38.25">
      <c r="A261" s="376" t="s">
        <v>150</v>
      </c>
      <c r="B261" s="212"/>
      <c r="C261" s="148" t="s">
        <v>621</v>
      </c>
      <c r="D261" s="148" t="s">
        <v>506</v>
      </c>
      <c r="E261" s="149" t="s">
        <v>61</v>
      </c>
      <c r="F261" s="148"/>
      <c r="G261" s="138">
        <f>G262</f>
        <v>3873398</v>
      </c>
      <c r="H261" s="120"/>
    </row>
    <row r="262" spans="1:8" ht="33.75" customHeight="1">
      <c r="A262" s="292" t="s">
        <v>88</v>
      </c>
      <c r="B262" s="212"/>
      <c r="C262" s="148" t="s">
        <v>621</v>
      </c>
      <c r="D262" s="148" t="s">
        <v>506</v>
      </c>
      <c r="E262" s="149" t="s">
        <v>61</v>
      </c>
      <c r="F262" s="148">
        <v>600</v>
      </c>
      <c r="G262" s="138">
        <f>77468+3795930</f>
        <v>3873398</v>
      </c>
      <c r="H262" s="120"/>
    </row>
    <row r="263" spans="1:8" ht="37.5" customHeight="1" hidden="1">
      <c r="A263" s="13"/>
      <c r="B263" s="212"/>
      <c r="C263" s="182"/>
      <c r="D263" s="182"/>
      <c r="E263" s="183"/>
      <c r="F263" s="182"/>
      <c r="G263" s="181">
        <f>G264</f>
        <v>0</v>
      </c>
      <c r="H263" s="120"/>
    </row>
    <row r="264" spans="1:8" ht="30" customHeight="1" hidden="1">
      <c r="A264" s="13"/>
      <c r="B264" s="212"/>
      <c r="C264" s="182"/>
      <c r="D264" s="182"/>
      <c r="E264" s="183"/>
      <c r="F264" s="182"/>
      <c r="G264" s="181"/>
      <c r="H264" s="120"/>
    </row>
    <row r="265" spans="1:8" ht="30" customHeight="1" hidden="1">
      <c r="A265" s="147" t="s">
        <v>105</v>
      </c>
      <c r="B265" s="212"/>
      <c r="C265" s="127" t="s">
        <v>621</v>
      </c>
      <c r="D265" s="127" t="s">
        <v>506</v>
      </c>
      <c r="E265" s="128" t="s">
        <v>60</v>
      </c>
      <c r="F265" s="127"/>
      <c r="G265" s="181">
        <f>G266</f>
        <v>0</v>
      </c>
      <c r="H265" s="120"/>
    </row>
    <row r="266" spans="1:8" ht="30" customHeight="1" hidden="1">
      <c r="A266" s="147" t="s">
        <v>468</v>
      </c>
      <c r="B266" s="212"/>
      <c r="C266" s="127" t="s">
        <v>621</v>
      </c>
      <c r="D266" s="127" t="s">
        <v>506</v>
      </c>
      <c r="E266" s="128" t="s">
        <v>838</v>
      </c>
      <c r="F266" s="127"/>
      <c r="G266" s="181">
        <f>G267</f>
        <v>0</v>
      </c>
      <c r="H266" s="120"/>
    </row>
    <row r="267" spans="1:8" ht="30" customHeight="1" hidden="1">
      <c r="A267" s="145" t="s">
        <v>88</v>
      </c>
      <c r="B267" s="212"/>
      <c r="C267" s="127" t="s">
        <v>621</v>
      </c>
      <c r="D267" s="127" t="s">
        <v>506</v>
      </c>
      <c r="E267" s="128" t="s">
        <v>838</v>
      </c>
      <c r="F267" s="127">
        <v>600</v>
      </c>
      <c r="G267" s="181"/>
      <c r="H267" s="120"/>
    </row>
    <row r="268" spans="1:8" ht="76.5" hidden="1">
      <c r="A268" s="70" t="s">
        <v>439</v>
      </c>
      <c r="B268" s="212"/>
      <c r="C268" s="127" t="s">
        <v>621</v>
      </c>
      <c r="D268" s="127" t="s">
        <v>506</v>
      </c>
      <c r="E268" s="128" t="s">
        <v>440</v>
      </c>
      <c r="F268" s="127"/>
      <c r="G268" s="138">
        <f>G269</f>
        <v>0</v>
      </c>
      <c r="H268" s="120"/>
    </row>
    <row r="269" spans="1:8" ht="30" customHeight="1" hidden="1">
      <c r="A269" s="139" t="s">
        <v>482</v>
      </c>
      <c r="B269" s="212"/>
      <c r="C269" s="127" t="s">
        <v>621</v>
      </c>
      <c r="D269" s="127" t="s">
        <v>506</v>
      </c>
      <c r="E269" s="128" t="s">
        <v>441</v>
      </c>
      <c r="F269" s="127"/>
      <c r="G269" s="138">
        <f>G270</f>
        <v>0</v>
      </c>
      <c r="H269" s="120"/>
    </row>
    <row r="270" spans="1:8" ht="30" customHeight="1" hidden="1">
      <c r="A270" s="28" t="s">
        <v>203</v>
      </c>
      <c r="B270" s="212"/>
      <c r="C270" s="127" t="s">
        <v>621</v>
      </c>
      <c r="D270" s="127" t="s">
        <v>506</v>
      </c>
      <c r="E270" s="128" t="s">
        <v>442</v>
      </c>
      <c r="F270" s="127"/>
      <c r="G270" s="138">
        <f>G271</f>
        <v>0</v>
      </c>
      <c r="H270" s="120"/>
    </row>
    <row r="271" spans="1:8" ht="30" customHeight="1" hidden="1">
      <c r="A271" s="139" t="s">
        <v>205</v>
      </c>
      <c r="B271" s="212"/>
      <c r="C271" s="127" t="s">
        <v>621</v>
      </c>
      <c r="D271" s="127" t="s">
        <v>506</v>
      </c>
      <c r="E271" s="128" t="s">
        <v>442</v>
      </c>
      <c r="F271" s="127">
        <v>600</v>
      </c>
      <c r="G271" s="138"/>
      <c r="H271" s="120"/>
    </row>
    <row r="272" spans="1:8" ht="30" customHeight="1">
      <c r="A272" s="24" t="s">
        <v>39</v>
      </c>
      <c r="B272" s="24"/>
      <c r="C272" s="182" t="s">
        <v>621</v>
      </c>
      <c r="D272" s="210" t="s">
        <v>99</v>
      </c>
      <c r="E272" s="183"/>
      <c r="F272" s="182"/>
      <c r="G272" s="184">
        <f>G273</f>
        <v>17277032</v>
      </c>
      <c r="H272" s="120"/>
    </row>
    <row r="273" spans="1:8" ht="38.25">
      <c r="A273" s="198" t="s">
        <v>261</v>
      </c>
      <c r="B273" s="198"/>
      <c r="C273" s="182" t="s">
        <v>621</v>
      </c>
      <c r="D273" s="210" t="s">
        <v>99</v>
      </c>
      <c r="E273" s="183" t="s">
        <v>530</v>
      </c>
      <c r="F273" s="182"/>
      <c r="G273" s="184">
        <f>G274</f>
        <v>17277032</v>
      </c>
      <c r="H273" s="120"/>
    </row>
    <row r="274" spans="1:8" ht="51">
      <c r="A274" s="12" t="s">
        <v>670</v>
      </c>
      <c r="B274" s="12"/>
      <c r="C274" s="182" t="s">
        <v>621</v>
      </c>
      <c r="D274" s="210" t="s">
        <v>99</v>
      </c>
      <c r="E274" s="186" t="s">
        <v>290</v>
      </c>
      <c r="F274" s="185" t="s">
        <v>85</v>
      </c>
      <c r="G274" s="184">
        <f>G275+G281+G278</f>
        <v>17277032</v>
      </c>
      <c r="H274" s="120"/>
    </row>
    <row r="275" spans="1:8" ht="38.25">
      <c r="A275" s="17" t="s">
        <v>434</v>
      </c>
      <c r="B275" s="17"/>
      <c r="C275" s="182" t="s">
        <v>621</v>
      </c>
      <c r="D275" s="210" t="s">
        <v>99</v>
      </c>
      <c r="E275" s="183" t="s">
        <v>291</v>
      </c>
      <c r="F275" s="185"/>
      <c r="G275" s="184">
        <f>G276</f>
        <v>13465532</v>
      </c>
      <c r="H275" s="120"/>
    </row>
    <row r="276" spans="1:8" ht="25.5">
      <c r="A276" s="185" t="s">
        <v>468</v>
      </c>
      <c r="B276" s="185"/>
      <c r="C276" s="182" t="s">
        <v>621</v>
      </c>
      <c r="D276" s="210" t="s">
        <v>99</v>
      </c>
      <c r="E276" s="183" t="s">
        <v>292</v>
      </c>
      <c r="F276" s="182" t="s">
        <v>85</v>
      </c>
      <c r="G276" s="184">
        <f>G277</f>
        <v>13465532</v>
      </c>
      <c r="H276" s="120"/>
    </row>
    <row r="277" spans="1:8" ht="38.25">
      <c r="A277" s="212" t="s">
        <v>88</v>
      </c>
      <c r="B277" s="13"/>
      <c r="C277" s="182" t="s">
        <v>621</v>
      </c>
      <c r="D277" s="210" t="s">
        <v>99</v>
      </c>
      <c r="E277" s="183" t="s">
        <v>292</v>
      </c>
      <c r="F277" s="182">
        <v>600</v>
      </c>
      <c r="G277" s="181">
        <v>13465532</v>
      </c>
      <c r="H277" s="120"/>
    </row>
    <row r="278" spans="1:8" ht="51">
      <c r="A278" s="139" t="s">
        <v>916</v>
      </c>
      <c r="B278" s="13"/>
      <c r="C278" s="127" t="s">
        <v>621</v>
      </c>
      <c r="D278" s="144" t="s">
        <v>99</v>
      </c>
      <c r="E278" s="128" t="s">
        <v>914</v>
      </c>
      <c r="F278" s="129"/>
      <c r="G278" s="138">
        <f>G279</f>
        <v>3811500</v>
      </c>
      <c r="H278" s="120"/>
    </row>
    <row r="279" spans="1:8" ht="25.5">
      <c r="A279" s="139" t="s">
        <v>198</v>
      </c>
      <c r="B279" s="13"/>
      <c r="C279" s="127" t="s">
        <v>621</v>
      </c>
      <c r="D279" s="144" t="s">
        <v>99</v>
      </c>
      <c r="E279" s="128" t="s">
        <v>915</v>
      </c>
      <c r="F279" s="127" t="s">
        <v>85</v>
      </c>
      <c r="G279" s="138">
        <f>G280</f>
        <v>3811500</v>
      </c>
      <c r="H279" s="120"/>
    </row>
    <row r="280" spans="1:8" ht="38.25">
      <c r="A280" s="139" t="s">
        <v>88</v>
      </c>
      <c r="B280" s="13"/>
      <c r="C280" s="127" t="s">
        <v>621</v>
      </c>
      <c r="D280" s="144" t="s">
        <v>99</v>
      </c>
      <c r="E280" s="128" t="s">
        <v>915</v>
      </c>
      <c r="F280" s="127">
        <v>600</v>
      </c>
      <c r="G280" s="138">
        <v>3811500</v>
      </c>
      <c r="H280" s="120"/>
    </row>
    <row r="281" spans="1:8" ht="12.75" hidden="1">
      <c r="A281" s="217" t="s">
        <v>104</v>
      </c>
      <c r="B281" s="217"/>
      <c r="C281" s="182" t="s">
        <v>621</v>
      </c>
      <c r="D281" s="210" t="s">
        <v>99</v>
      </c>
      <c r="E281" s="183" t="s">
        <v>666</v>
      </c>
      <c r="F281" s="182"/>
      <c r="G281" s="184">
        <f>G282</f>
        <v>0</v>
      </c>
      <c r="H281" s="120"/>
    </row>
    <row r="282" spans="1:8" ht="51" hidden="1">
      <c r="A282" s="217" t="s">
        <v>729</v>
      </c>
      <c r="B282" s="217"/>
      <c r="C282" s="182" t="s">
        <v>621</v>
      </c>
      <c r="D282" s="210" t="s">
        <v>99</v>
      </c>
      <c r="E282" s="183" t="s">
        <v>667</v>
      </c>
      <c r="F282" s="182"/>
      <c r="G282" s="184">
        <f>G283</f>
        <v>0</v>
      </c>
      <c r="H282" s="120"/>
    </row>
    <row r="283" spans="1:8" ht="38.25" hidden="1">
      <c r="A283" s="212" t="s">
        <v>88</v>
      </c>
      <c r="B283" s="13"/>
      <c r="C283" s="182" t="s">
        <v>621</v>
      </c>
      <c r="D283" s="210" t="s">
        <v>99</v>
      </c>
      <c r="E283" s="183" t="s">
        <v>667</v>
      </c>
      <c r="F283" s="182">
        <v>600</v>
      </c>
      <c r="G283" s="181"/>
      <c r="H283" s="120"/>
    </row>
    <row r="284" spans="1:8" ht="12.75">
      <c r="A284" s="201" t="s">
        <v>40</v>
      </c>
      <c r="B284" s="201"/>
      <c r="C284" s="200" t="s">
        <v>621</v>
      </c>
      <c r="D284" s="200" t="s">
        <v>621</v>
      </c>
      <c r="E284" s="200" t="s">
        <v>85</v>
      </c>
      <c r="F284" s="200" t="s">
        <v>85</v>
      </c>
      <c r="G284" s="184">
        <f>G285</f>
        <v>2634600</v>
      </c>
      <c r="H284" s="120"/>
    </row>
    <row r="285" spans="1:8" ht="63.75">
      <c r="A285" s="198" t="s">
        <v>413</v>
      </c>
      <c r="B285" s="198"/>
      <c r="C285" s="182" t="s">
        <v>621</v>
      </c>
      <c r="D285" s="182" t="s">
        <v>621</v>
      </c>
      <c r="E285" s="183" t="s">
        <v>412</v>
      </c>
      <c r="F285" s="182" t="s">
        <v>85</v>
      </c>
      <c r="G285" s="184">
        <f>G286</f>
        <v>2634600</v>
      </c>
      <c r="H285" s="120"/>
    </row>
    <row r="286" spans="1:8" ht="89.25">
      <c r="A286" s="12" t="s">
        <v>336</v>
      </c>
      <c r="B286" s="12"/>
      <c r="C286" s="182" t="s">
        <v>621</v>
      </c>
      <c r="D286" s="182" t="s">
        <v>621</v>
      </c>
      <c r="E286" s="186" t="s">
        <v>462</v>
      </c>
      <c r="F286" s="185" t="s">
        <v>85</v>
      </c>
      <c r="G286" s="184">
        <f>G287+G296</f>
        <v>2634600</v>
      </c>
      <c r="H286" s="120"/>
    </row>
    <row r="287" spans="1:8" ht="25.5">
      <c r="A287" s="20" t="s">
        <v>461</v>
      </c>
      <c r="B287" s="20"/>
      <c r="C287" s="182" t="s">
        <v>621</v>
      </c>
      <c r="D287" s="182" t="s">
        <v>621</v>
      </c>
      <c r="E287" s="183" t="s">
        <v>460</v>
      </c>
      <c r="F287" s="185"/>
      <c r="G287" s="184">
        <f>G290+G293+G288</f>
        <v>2554600</v>
      </c>
      <c r="H287" s="120"/>
    </row>
    <row r="288" spans="1:8" ht="12.75">
      <c r="A288" s="17" t="s">
        <v>459</v>
      </c>
      <c r="B288" s="20"/>
      <c r="C288" s="127" t="s">
        <v>621</v>
      </c>
      <c r="D288" s="127" t="s">
        <v>621</v>
      </c>
      <c r="E288" s="128" t="s">
        <v>458</v>
      </c>
      <c r="F288" s="129"/>
      <c r="G288" s="184">
        <f>G289</f>
        <v>7000</v>
      </c>
      <c r="H288" s="120"/>
    </row>
    <row r="289" spans="1:8" ht="38.25">
      <c r="A289" s="139" t="s">
        <v>88</v>
      </c>
      <c r="B289" s="20"/>
      <c r="C289" s="127" t="s">
        <v>621</v>
      </c>
      <c r="D289" s="127" t="s">
        <v>621</v>
      </c>
      <c r="E289" s="128" t="s">
        <v>458</v>
      </c>
      <c r="F289" s="129">
        <v>600</v>
      </c>
      <c r="G289" s="184">
        <v>7000</v>
      </c>
      <c r="H289" s="120"/>
    </row>
    <row r="290" spans="1:8" ht="12.75">
      <c r="A290" s="49" t="s">
        <v>601</v>
      </c>
      <c r="B290" s="49"/>
      <c r="C290" s="182" t="s">
        <v>621</v>
      </c>
      <c r="D290" s="182" t="s">
        <v>621</v>
      </c>
      <c r="E290" s="183" t="s">
        <v>602</v>
      </c>
      <c r="F290" s="185"/>
      <c r="G290" s="184">
        <f>SUM(G291:G292)</f>
        <v>993564</v>
      </c>
      <c r="H290" s="120"/>
    </row>
    <row r="291" spans="1:8" ht="25.5">
      <c r="A291" s="13" t="s">
        <v>79</v>
      </c>
      <c r="B291" s="13"/>
      <c r="C291" s="182" t="s">
        <v>621</v>
      </c>
      <c r="D291" s="182" t="s">
        <v>621</v>
      </c>
      <c r="E291" s="183" t="s">
        <v>602</v>
      </c>
      <c r="F291" s="185">
        <v>300</v>
      </c>
      <c r="G291" s="181">
        <v>596232</v>
      </c>
      <c r="H291" s="120"/>
    </row>
    <row r="292" spans="1:8" ht="38.25">
      <c r="A292" s="13" t="s">
        <v>88</v>
      </c>
      <c r="B292" s="13"/>
      <c r="C292" s="182" t="s">
        <v>621</v>
      </c>
      <c r="D292" s="182" t="s">
        <v>621</v>
      </c>
      <c r="E292" s="183" t="s">
        <v>602</v>
      </c>
      <c r="F292" s="185">
        <v>600</v>
      </c>
      <c r="G292" s="181">
        <v>397332</v>
      </c>
      <c r="H292" s="120"/>
    </row>
    <row r="293" spans="1:8" ht="25.5">
      <c r="A293" s="25" t="s">
        <v>469</v>
      </c>
      <c r="B293" s="25"/>
      <c r="C293" s="182" t="s">
        <v>621</v>
      </c>
      <c r="D293" s="182" t="s">
        <v>621</v>
      </c>
      <c r="E293" s="183" t="s">
        <v>265</v>
      </c>
      <c r="F293" s="185"/>
      <c r="G293" s="184">
        <f>SUM(G294:G295)</f>
        <v>1554036</v>
      </c>
      <c r="H293" s="120"/>
    </row>
    <row r="294" spans="1:8" ht="25.5">
      <c r="A294" s="13" t="s">
        <v>79</v>
      </c>
      <c r="B294" s="13"/>
      <c r="C294" s="182" t="s">
        <v>621</v>
      </c>
      <c r="D294" s="182" t="s">
        <v>621</v>
      </c>
      <c r="E294" s="183" t="s">
        <v>265</v>
      </c>
      <c r="F294" s="185">
        <v>300</v>
      </c>
      <c r="G294" s="181">
        <v>932568</v>
      </c>
      <c r="H294" s="120"/>
    </row>
    <row r="295" spans="1:8" ht="38.25">
      <c r="A295" s="13" t="s">
        <v>88</v>
      </c>
      <c r="B295" s="13"/>
      <c r="C295" s="182" t="s">
        <v>621</v>
      </c>
      <c r="D295" s="182" t="s">
        <v>621</v>
      </c>
      <c r="E295" s="183" t="s">
        <v>265</v>
      </c>
      <c r="F295" s="185">
        <v>600</v>
      </c>
      <c r="G295" s="181">
        <v>621468</v>
      </c>
      <c r="H295" s="120"/>
    </row>
    <row r="296" spans="1:8" ht="51">
      <c r="A296" s="21" t="s">
        <v>715</v>
      </c>
      <c r="B296" s="21"/>
      <c r="C296" s="182" t="s">
        <v>621</v>
      </c>
      <c r="D296" s="182" t="s">
        <v>621</v>
      </c>
      <c r="E296" s="183" t="s">
        <v>716</v>
      </c>
      <c r="F296" s="185"/>
      <c r="G296" s="184">
        <f>G297</f>
        <v>80000</v>
      </c>
      <c r="H296" s="120"/>
    </row>
    <row r="297" spans="1:8" ht="25.5">
      <c r="A297" s="21" t="s">
        <v>718</v>
      </c>
      <c r="B297" s="21"/>
      <c r="C297" s="182" t="s">
        <v>621</v>
      </c>
      <c r="D297" s="182" t="s">
        <v>621</v>
      </c>
      <c r="E297" s="183" t="s">
        <v>717</v>
      </c>
      <c r="F297" s="185"/>
      <c r="G297" s="184">
        <f>G298</f>
        <v>80000</v>
      </c>
      <c r="H297" s="120"/>
    </row>
    <row r="298" spans="1:8" ht="25.5">
      <c r="A298" s="212" t="s">
        <v>212</v>
      </c>
      <c r="B298" s="212"/>
      <c r="C298" s="182" t="s">
        <v>621</v>
      </c>
      <c r="D298" s="182" t="s">
        <v>621</v>
      </c>
      <c r="E298" s="183" t="s">
        <v>717</v>
      </c>
      <c r="F298" s="185">
        <v>200</v>
      </c>
      <c r="G298" s="181">
        <v>80000</v>
      </c>
      <c r="H298" s="120"/>
    </row>
    <row r="299" spans="1:8" ht="12.75">
      <c r="A299" s="205" t="s">
        <v>537</v>
      </c>
      <c r="B299" s="205"/>
      <c r="C299" s="200" t="s">
        <v>621</v>
      </c>
      <c r="D299" s="200" t="s">
        <v>100</v>
      </c>
      <c r="E299" s="200" t="s">
        <v>85</v>
      </c>
      <c r="F299" s="200" t="s">
        <v>85</v>
      </c>
      <c r="G299" s="184">
        <f>G300+G310</f>
        <v>9910416</v>
      </c>
      <c r="H299" s="120"/>
    </row>
    <row r="300" spans="1:8" ht="38.25">
      <c r="A300" s="198" t="s">
        <v>263</v>
      </c>
      <c r="B300" s="198"/>
      <c r="C300" s="182" t="s">
        <v>621</v>
      </c>
      <c r="D300" s="182" t="s">
        <v>100</v>
      </c>
      <c r="E300" s="183" t="s">
        <v>530</v>
      </c>
      <c r="F300" s="182" t="s">
        <v>85</v>
      </c>
      <c r="G300" s="184">
        <f>G301</f>
        <v>9905416</v>
      </c>
      <c r="H300" s="120"/>
    </row>
    <row r="301" spans="1:8" ht="51">
      <c r="A301" s="12" t="s">
        <v>671</v>
      </c>
      <c r="B301" s="12"/>
      <c r="C301" s="182" t="s">
        <v>621</v>
      </c>
      <c r="D301" s="182" t="s">
        <v>100</v>
      </c>
      <c r="E301" s="183" t="s">
        <v>293</v>
      </c>
      <c r="F301" s="185" t="s">
        <v>85</v>
      </c>
      <c r="G301" s="184">
        <f>G302+G305</f>
        <v>9905416</v>
      </c>
      <c r="H301" s="120"/>
    </row>
    <row r="302" spans="1:8" ht="51">
      <c r="A302" s="17" t="s">
        <v>435</v>
      </c>
      <c r="B302" s="17"/>
      <c r="C302" s="182" t="s">
        <v>621</v>
      </c>
      <c r="D302" s="182" t="s">
        <v>100</v>
      </c>
      <c r="E302" s="183" t="s">
        <v>294</v>
      </c>
      <c r="F302" s="185"/>
      <c r="G302" s="184">
        <f>G303</f>
        <v>236023</v>
      </c>
      <c r="H302" s="120"/>
    </row>
    <row r="303" spans="1:8" ht="38.25">
      <c r="A303" s="13" t="s">
        <v>569</v>
      </c>
      <c r="B303" s="13"/>
      <c r="C303" s="182" t="s">
        <v>621</v>
      </c>
      <c r="D303" s="182" t="s">
        <v>100</v>
      </c>
      <c r="E303" s="183" t="s">
        <v>295</v>
      </c>
      <c r="F303" s="182"/>
      <c r="G303" s="184">
        <f>G304</f>
        <v>236023</v>
      </c>
      <c r="H303" s="120"/>
    </row>
    <row r="304" spans="1:8" ht="63.75">
      <c r="A304" s="13" t="s">
        <v>698</v>
      </c>
      <c r="B304" s="13"/>
      <c r="C304" s="182" t="s">
        <v>621</v>
      </c>
      <c r="D304" s="182" t="s">
        <v>100</v>
      </c>
      <c r="E304" s="183" t="s">
        <v>295</v>
      </c>
      <c r="F304" s="182">
        <v>100</v>
      </c>
      <c r="G304" s="181">
        <v>236023</v>
      </c>
      <c r="H304" s="120"/>
    </row>
    <row r="305" spans="1:8" ht="38.25">
      <c r="A305" s="20" t="s">
        <v>310</v>
      </c>
      <c r="B305" s="20"/>
      <c r="C305" s="182" t="s">
        <v>621</v>
      </c>
      <c r="D305" s="182" t="s">
        <v>100</v>
      </c>
      <c r="E305" s="183" t="s">
        <v>297</v>
      </c>
      <c r="F305" s="182"/>
      <c r="G305" s="184">
        <f>G306</f>
        <v>9669393</v>
      </c>
      <c r="H305" s="120"/>
    </row>
    <row r="306" spans="1:8" ht="25.5">
      <c r="A306" s="185" t="s">
        <v>468</v>
      </c>
      <c r="B306" s="185"/>
      <c r="C306" s="182" t="s">
        <v>621</v>
      </c>
      <c r="D306" s="182" t="s">
        <v>100</v>
      </c>
      <c r="E306" s="183" t="s">
        <v>298</v>
      </c>
      <c r="F306" s="182" t="s">
        <v>85</v>
      </c>
      <c r="G306" s="184">
        <f>SUM(G307:G309)</f>
        <v>9669393</v>
      </c>
      <c r="H306" s="120"/>
    </row>
    <row r="307" spans="1:8" ht="63.75">
      <c r="A307" s="13" t="s">
        <v>698</v>
      </c>
      <c r="B307" s="13"/>
      <c r="C307" s="182" t="s">
        <v>621</v>
      </c>
      <c r="D307" s="182" t="s">
        <v>100</v>
      </c>
      <c r="E307" s="183" t="s">
        <v>298</v>
      </c>
      <c r="F307" s="182" t="s">
        <v>565</v>
      </c>
      <c r="G307" s="181">
        <v>7792459</v>
      </c>
      <c r="H307" s="120"/>
    </row>
    <row r="308" spans="1:8" ht="25.5">
      <c r="A308" s="13" t="s">
        <v>212</v>
      </c>
      <c r="B308" s="13"/>
      <c r="C308" s="182" t="s">
        <v>621</v>
      </c>
      <c r="D308" s="182" t="s">
        <v>100</v>
      </c>
      <c r="E308" s="183" t="s">
        <v>298</v>
      </c>
      <c r="F308" s="182" t="s">
        <v>72</v>
      </c>
      <c r="G308" s="181">
        <v>1871644</v>
      </c>
      <c r="H308" s="120"/>
    </row>
    <row r="309" spans="1:8" ht="12.75">
      <c r="A309" s="13" t="s">
        <v>75</v>
      </c>
      <c r="B309" s="13"/>
      <c r="C309" s="182" t="s">
        <v>621</v>
      </c>
      <c r="D309" s="182" t="s">
        <v>100</v>
      </c>
      <c r="E309" s="183" t="s">
        <v>298</v>
      </c>
      <c r="F309" s="182">
        <v>800</v>
      </c>
      <c r="G309" s="181">
        <v>5290</v>
      </c>
      <c r="H309" s="120"/>
    </row>
    <row r="310" spans="1:8" ht="25.5">
      <c r="A310" s="13" t="s">
        <v>433</v>
      </c>
      <c r="B310" s="13"/>
      <c r="C310" s="182" t="s">
        <v>621</v>
      </c>
      <c r="D310" s="182" t="s">
        <v>100</v>
      </c>
      <c r="E310" s="183" t="s">
        <v>288</v>
      </c>
      <c r="F310" s="182"/>
      <c r="G310" s="181">
        <f>G311</f>
        <v>5000</v>
      </c>
      <c r="H310" s="120"/>
    </row>
    <row r="311" spans="1:8" ht="12.75">
      <c r="A311" s="139" t="s">
        <v>258</v>
      </c>
      <c r="B311" s="450"/>
      <c r="C311" s="127" t="s">
        <v>621</v>
      </c>
      <c r="D311" s="127" t="s">
        <v>100</v>
      </c>
      <c r="E311" s="128" t="s">
        <v>257</v>
      </c>
      <c r="F311" s="127"/>
      <c r="G311" s="138">
        <f>G312</f>
        <v>5000</v>
      </c>
      <c r="H311" s="120"/>
    </row>
    <row r="312" spans="1:8" ht="25.5">
      <c r="A312" s="139" t="s">
        <v>79</v>
      </c>
      <c r="B312" s="450"/>
      <c r="C312" s="127" t="s">
        <v>621</v>
      </c>
      <c r="D312" s="127" t="s">
        <v>100</v>
      </c>
      <c r="E312" s="128" t="s">
        <v>257</v>
      </c>
      <c r="F312" s="127">
        <v>300</v>
      </c>
      <c r="G312" s="138">
        <v>5000</v>
      </c>
      <c r="H312" s="120"/>
    </row>
    <row r="313" spans="1:8" ht="12.75">
      <c r="A313" s="161" t="s">
        <v>685</v>
      </c>
      <c r="B313" s="161"/>
      <c r="C313" s="159" t="s">
        <v>526</v>
      </c>
      <c r="D313" s="203" t="s">
        <v>436</v>
      </c>
      <c r="E313" s="159" t="s">
        <v>85</v>
      </c>
      <c r="F313" s="159" t="s">
        <v>85</v>
      </c>
      <c r="G313" s="158">
        <f>G314</f>
        <v>28914423</v>
      </c>
      <c r="H313" s="120"/>
    </row>
    <row r="314" spans="1:8" ht="12.75">
      <c r="A314" s="201" t="s">
        <v>538</v>
      </c>
      <c r="B314" s="201"/>
      <c r="C314" s="200" t="s">
        <v>526</v>
      </c>
      <c r="D314" s="200" t="s">
        <v>504</v>
      </c>
      <c r="E314" s="200" t="s">
        <v>85</v>
      </c>
      <c r="F314" s="200" t="s">
        <v>85</v>
      </c>
      <c r="G314" s="184">
        <f>G315</f>
        <v>28914423</v>
      </c>
      <c r="H314" s="120"/>
    </row>
    <row r="315" spans="1:8" ht="25.5">
      <c r="A315" s="198" t="s">
        <v>15</v>
      </c>
      <c r="B315" s="198"/>
      <c r="C315" s="182" t="s">
        <v>526</v>
      </c>
      <c r="D315" s="182" t="s">
        <v>504</v>
      </c>
      <c r="E315" s="183" t="s">
        <v>299</v>
      </c>
      <c r="F315" s="182" t="s">
        <v>85</v>
      </c>
      <c r="G315" s="184">
        <f>G316+G322</f>
        <v>28914423</v>
      </c>
      <c r="H315" s="120"/>
    </row>
    <row r="316" spans="1:8" ht="25.5">
      <c r="A316" s="24" t="s">
        <v>559</v>
      </c>
      <c r="B316" s="24"/>
      <c r="C316" s="182" t="s">
        <v>526</v>
      </c>
      <c r="D316" s="182" t="s">
        <v>504</v>
      </c>
      <c r="E316" s="183" t="s">
        <v>300</v>
      </c>
      <c r="F316" s="185" t="s">
        <v>85</v>
      </c>
      <c r="G316" s="184">
        <f>G317</f>
        <v>5279218</v>
      </c>
      <c r="H316" s="120"/>
    </row>
    <row r="317" spans="1:8" ht="25.5">
      <c r="A317" s="18" t="s">
        <v>457</v>
      </c>
      <c r="B317" s="18"/>
      <c r="C317" s="182" t="s">
        <v>526</v>
      </c>
      <c r="D317" s="182" t="s">
        <v>504</v>
      </c>
      <c r="E317" s="183" t="s">
        <v>301</v>
      </c>
      <c r="F317" s="185"/>
      <c r="G317" s="184">
        <f>G318</f>
        <v>5279218</v>
      </c>
      <c r="H317" s="120"/>
    </row>
    <row r="318" spans="1:8" ht="25.5">
      <c r="A318" s="185" t="s">
        <v>696</v>
      </c>
      <c r="B318" s="185"/>
      <c r="C318" s="182" t="s">
        <v>526</v>
      </c>
      <c r="D318" s="182" t="s">
        <v>504</v>
      </c>
      <c r="E318" s="183" t="s">
        <v>302</v>
      </c>
      <c r="F318" s="182" t="s">
        <v>85</v>
      </c>
      <c r="G318" s="184">
        <f>SUM(G319:G321)</f>
        <v>5279218</v>
      </c>
      <c r="H318" s="120"/>
    </row>
    <row r="319" spans="1:8" ht="63.75">
      <c r="A319" s="13" t="s">
        <v>698</v>
      </c>
      <c r="B319" s="13"/>
      <c r="C319" s="182" t="s">
        <v>526</v>
      </c>
      <c r="D319" s="182" t="s">
        <v>504</v>
      </c>
      <c r="E319" s="183" t="s">
        <v>302</v>
      </c>
      <c r="F319" s="182">
        <v>100</v>
      </c>
      <c r="G319" s="181">
        <v>4920154</v>
      </c>
      <c r="H319" s="120"/>
    </row>
    <row r="320" spans="1:8" ht="25.5">
      <c r="A320" s="13" t="s">
        <v>212</v>
      </c>
      <c r="B320" s="13"/>
      <c r="C320" s="182" t="s">
        <v>526</v>
      </c>
      <c r="D320" s="182" t="s">
        <v>504</v>
      </c>
      <c r="E320" s="183" t="s">
        <v>302</v>
      </c>
      <c r="F320" s="182">
        <v>200</v>
      </c>
      <c r="G320" s="181">
        <v>326168</v>
      </c>
      <c r="H320" s="120"/>
    </row>
    <row r="321" spans="1:8" ht="12.75" customHeight="1">
      <c r="A321" s="13" t="s">
        <v>75</v>
      </c>
      <c r="B321" s="13"/>
      <c r="C321" s="182" t="s">
        <v>526</v>
      </c>
      <c r="D321" s="182" t="s">
        <v>504</v>
      </c>
      <c r="E321" s="183" t="s">
        <v>302</v>
      </c>
      <c r="F321" s="182">
        <v>800</v>
      </c>
      <c r="G321" s="181">
        <v>32896</v>
      </c>
      <c r="H321" s="120"/>
    </row>
    <row r="322" spans="1:8" ht="25.5">
      <c r="A322" s="12" t="s">
        <v>560</v>
      </c>
      <c r="B322" s="12"/>
      <c r="C322" s="182" t="s">
        <v>526</v>
      </c>
      <c r="D322" s="182" t="s">
        <v>504</v>
      </c>
      <c r="E322" s="183" t="s">
        <v>303</v>
      </c>
      <c r="F322" s="185"/>
      <c r="G322" s="184">
        <f>G323</f>
        <v>23635205</v>
      </c>
      <c r="H322" s="120"/>
    </row>
    <row r="323" spans="1:8" ht="51">
      <c r="A323" s="18" t="s">
        <v>608</v>
      </c>
      <c r="B323" s="18"/>
      <c r="C323" s="182" t="s">
        <v>526</v>
      </c>
      <c r="D323" s="182" t="s">
        <v>504</v>
      </c>
      <c r="E323" s="183" t="s">
        <v>304</v>
      </c>
      <c r="F323" s="185"/>
      <c r="G323" s="184">
        <f>G324+G326+G328</f>
        <v>23635205</v>
      </c>
      <c r="H323" s="120"/>
    </row>
    <row r="324" spans="1:8" ht="25.5">
      <c r="A324" s="185" t="s">
        <v>696</v>
      </c>
      <c r="B324" s="185"/>
      <c r="C324" s="182" t="s">
        <v>526</v>
      </c>
      <c r="D324" s="182" t="s">
        <v>504</v>
      </c>
      <c r="E324" s="183" t="s">
        <v>305</v>
      </c>
      <c r="F324" s="185"/>
      <c r="G324" s="184">
        <f>G325</f>
        <v>23511205</v>
      </c>
      <c r="H324" s="120"/>
    </row>
    <row r="325" spans="1:8" ht="38.25">
      <c r="A325" s="13" t="s">
        <v>88</v>
      </c>
      <c r="B325" s="13"/>
      <c r="C325" s="182" t="s">
        <v>526</v>
      </c>
      <c r="D325" s="182" t="s">
        <v>504</v>
      </c>
      <c r="E325" s="183" t="s">
        <v>305</v>
      </c>
      <c r="F325" s="185">
        <v>600</v>
      </c>
      <c r="G325" s="181">
        <v>23511205</v>
      </c>
      <c r="H325" s="120"/>
    </row>
    <row r="326" spans="1:8" ht="24">
      <c r="A326" s="23" t="s">
        <v>275</v>
      </c>
      <c r="B326" s="23"/>
      <c r="C326" s="210" t="s">
        <v>526</v>
      </c>
      <c r="D326" s="182" t="s">
        <v>504</v>
      </c>
      <c r="E326" s="183" t="s">
        <v>254</v>
      </c>
      <c r="F326" s="185"/>
      <c r="G326" s="184">
        <f>G327</f>
        <v>124000</v>
      </c>
      <c r="H326" s="120"/>
    </row>
    <row r="327" spans="1:8" ht="25.5">
      <c r="A327" s="180" t="s">
        <v>89</v>
      </c>
      <c r="B327" s="180"/>
      <c r="C327" s="209" t="s">
        <v>526</v>
      </c>
      <c r="D327" s="178" t="s">
        <v>504</v>
      </c>
      <c r="E327" s="179" t="s">
        <v>254</v>
      </c>
      <c r="F327" s="204">
        <v>200</v>
      </c>
      <c r="G327" s="177">
        <v>124000</v>
      </c>
      <c r="H327" s="120"/>
    </row>
    <row r="328" spans="1:8" ht="38.25" hidden="1">
      <c r="A328" s="125" t="s">
        <v>773</v>
      </c>
      <c r="B328" s="214"/>
      <c r="C328" s="144" t="s">
        <v>526</v>
      </c>
      <c r="D328" s="127" t="s">
        <v>504</v>
      </c>
      <c r="E328" s="124" t="s">
        <v>772</v>
      </c>
      <c r="F328" s="129"/>
      <c r="G328" s="215">
        <f>G329</f>
        <v>0</v>
      </c>
      <c r="H328" s="120"/>
    </row>
    <row r="329" spans="1:8" ht="58.5" customHeight="1" hidden="1">
      <c r="A329" s="139" t="s">
        <v>88</v>
      </c>
      <c r="B329" s="214"/>
      <c r="C329" s="143" t="s">
        <v>526</v>
      </c>
      <c r="D329" s="123" t="s">
        <v>504</v>
      </c>
      <c r="E329" s="124" t="s">
        <v>772</v>
      </c>
      <c r="F329" s="137">
        <v>600</v>
      </c>
      <c r="G329" s="215"/>
      <c r="H329" s="120"/>
    </row>
    <row r="330" spans="1:8" ht="12.75">
      <c r="A330" s="213" t="s">
        <v>780</v>
      </c>
      <c r="B330" s="213"/>
      <c r="C330" s="203" t="s">
        <v>100</v>
      </c>
      <c r="D330" s="160" t="s">
        <v>436</v>
      </c>
      <c r="E330" s="189"/>
      <c r="F330" s="188"/>
      <c r="G330" s="158">
        <f>G331</f>
        <v>1084220</v>
      </c>
      <c r="H330" s="120"/>
    </row>
    <row r="331" spans="1:8" ht="12.75">
      <c r="A331" s="212" t="s">
        <v>42</v>
      </c>
      <c r="B331" s="212"/>
      <c r="C331" s="210" t="s">
        <v>100</v>
      </c>
      <c r="D331" s="210" t="s">
        <v>621</v>
      </c>
      <c r="E331" s="183"/>
      <c r="F331" s="185"/>
      <c r="G331" s="184">
        <f>G332</f>
        <v>1084220</v>
      </c>
      <c r="H331" s="120"/>
    </row>
    <row r="332" spans="1:8" ht="25.5">
      <c r="A332" s="198" t="s">
        <v>593</v>
      </c>
      <c r="B332" s="198"/>
      <c r="C332" s="210" t="s">
        <v>100</v>
      </c>
      <c r="D332" s="210" t="s">
        <v>621</v>
      </c>
      <c r="E332" s="183" t="s">
        <v>14</v>
      </c>
      <c r="F332" s="185"/>
      <c r="G332" s="184">
        <f>G333</f>
        <v>1084220</v>
      </c>
      <c r="H332" s="120"/>
    </row>
    <row r="333" spans="1:8" ht="25.5">
      <c r="A333" s="12" t="s">
        <v>603</v>
      </c>
      <c r="B333" s="12"/>
      <c r="C333" s="210" t="s">
        <v>100</v>
      </c>
      <c r="D333" s="210" t="s">
        <v>621</v>
      </c>
      <c r="E333" s="186" t="s">
        <v>16</v>
      </c>
      <c r="F333" s="185"/>
      <c r="G333" s="184">
        <f>G334</f>
        <v>1084220</v>
      </c>
      <c r="H333" s="120"/>
    </row>
    <row r="334" spans="1:8" ht="38.25">
      <c r="A334" s="27" t="s">
        <v>731</v>
      </c>
      <c r="B334" s="27"/>
      <c r="C334" s="210" t="s">
        <v>100</v>
      </c>
      <c r="D334" s="210" t="s">
        <v>621</v>
      </c>
      <c r="E334" s="183" t="s">
        <v>43</v>
      </c>
      <c r="F334" s="185"/>
      <c r="G334" s="184">
        <f>G335</f>
        <v>1084220</v>
      </c>
      <c r="H334" s="120"/>
    </row>
    <row r="335" spans="1:8" ht="25.5">
      <c r="A335" s="180" t="s">
        <v>89</v>
      </c>
      <c r="B335" s="180"/>
      <c r="C335" s="209" t="s">
        <v>100</v>
      </c>
      <c r="D335" s="209" t="s">
        <v>621</v>
      </c>
      <c r="E335" s="179" t="s">
        <v>43</v>
      </c>
      <c r="F335" s="204">
        <v>200</v>
      </c>
      <c r="G335" s="177">
        <v>1084220</v>
      </c>
      <c r="H335" s="120"/>
    </row>
    <row r="336" spans="1:8" ht="12.75">
      <c r="A336" s="161" t="s">
        <v>539</v>
      </c>
      <c r="B336" s="161"/>
      <c r="C336" s="159" t="s">
        <v>527</v>
      </c>
      <c r="D336" s="203" t="s">
        <v>436</v>
      </c>
      <c r="E336" s="159" t="s">
        <v>85</v>
      </c>
      <c r="F336" s="159" t="s">
        <v>85</v>
      </c>
      <c r="G336" s="158">
        <f>G337+G343+G356</f>
        <v>11272146</v>
      </c>
      <c r="H336" s="120"/>
    </row>
    <row r="337" spans="1:8" ht="12.75">
      <c r="A337" s="201" t="s">
        <v>540</v>
      </c>
      <c r="B337" s="201"/>
      <c r="C337" s="200" t="s">
        <v>527</v>
      </c>
      <c r="D337" s="200" t="s">
        <v>99</v>
      </c>
      <c r="E337" s="200" t="s">
        <v>85</v>
      </c>
      <c r="F337" s="200" t="s">
        <v>85</v>
      </c>
      <c r="G337" s="184">
        <f>G338</f>
        <v>24000</v>
      </c>
      <c r="H337" s="120"/>
    </row>
    <row r="338" spans="1:8" ht="38.25">
      <c r="A338" s="198" t="s">
        <v>263</v>
      </c>
      <c r="B338" s="198"/>
      <c r="C338" s="182">
        <v>10</v>
      </c>
      <c r="D338" s="182" t="s">
        <v>99</v>
      </c>
      <c r="E338" s="183" t="s">
        <v>530</v>
      </c>
      <c r="F338" s="182"/>
      <c r="G338" s="184">
        <f>G339</f>
        <v>24000</v>
      </c>
      <c r="H338" s="120"/>
    </row>
    <row r="339" spans="1:8" ht="51">
      <c r="A339" s="12" t="s">
        <v>262</v>
      </c>
      <c r="B339" s="12"/>
      <c r="C339" s="182">
        <v>10</v>
      </c>
      <c r="D339" s="182" t="s">
        <v>99</v>
      </c>
      <c r="E339" s="186" t="s">
        <v>531</v>
      </c>
      <c r="F339" s="182"/>
      <c r="G339" s="184">
        <f>G340</f>
        <v>24000</v>
      </c>
      <c r="H339" s="120"/>
    </row>
    <row r="340" spans="1:8" ht="25.5">
      <c r="A340" s="26" t="s">
        <v>433</v>
      </c>
      <c r="B340" s="26"/>
      <c r="C340" s="182">
        <v>10</v>
      </c>
      <c r="D340" s="182" t="s">
        <v>99</v>
      </c>
      <c r="E340" s="186" t="s">
        <v>288</v>
      </c>
      <c r="F340" s="182"/>
      <c r="G340" s="184">
        <f>G341</f>
        <v>24000</v>
      </c>
      <c r="H340" s="120"/>
    </row>
    <row r="341" spans="1:8" ht="12.75">
      <c r="A341" s="20" t="s">
        <v>258</v>
      </c>
      <c r="B341" s="23"/>
      <c r="C341" s="182">
        <v>10</v>
      </c>
      <c r="D341" s="182" t="s">
        <v>99</v>
      </c>
      <c r="E341" s="183" t="s">
        <v>257</v>
      </c>
      <c r="F341" s="182"/>
      <c r="G341" s="184">
        <f>G342</f>
        <v>24000</v>
      </c>
      <c r="H341" s="120"/>
    </row>
    <row r="342" spans="1:8" ht="18" customHeight="1">
      <c r="A342" s="13" t="s">
        <v>79</v>
      </c>
      <c r="B342" s="13"/>
      <c r="C342" s="182">
        <v>10</v>
      </c>
      <c r="D342" s="182" t="s">
        <v>99</v>
      </c>
      <c r="E342" s="183" t="s">
        <v>257</v>
      </c>
      <c r="F342" s="182">
        <v>300</v>
      </c>
      <c r="G342" s="181">
        <v>24000</v>
      </c>
      <c r="H342" s="120"/>
    </row>
    <row r="343" spans="1:8" ht="12.75">
      <c r="A343" s="201" t="s">
        <v>541</v>
      </c>
      <c r="B343" s="201"/>
      <c r="C343" s="200" t="s">
        <v>527</v>
      </c>
      <c r="D343" s="200" t="s">
        <v>507</v>
      </c>
      <c r="E343" s="200" t="s">
        <v>85</v>
      </c>
      <c r="F343" s="200" t="s">
        <v>85</v>
      </c>
      <c r="G343" s="184">
        <f>G350+G344</f>
        <v>10913446</v>
      </c>
      <c r="H343" s="120"/>
    </row>
    <row r="344" spans="1:8" ht="25.5">
      <c r="A344" s="198" t="s">
        <v>157</v>
      </c>
      <c r="B344" s="201"/>
      <c r="C344" s="182">
        <v>10</v>
      </c>
      <c r="D344" s="182" t="s">
        <v>507</v>
      </c>
      <c r="E344" s="200" t="s">
        <v>207</v>
      </c>
      <c r="F344" s="200"/>
      <c r="G344" s="184">
        <f>G345</f>
        <v>5797348</v>
      </c>
      <c r="H344" s="120"/>
    </row>
    <row r="345" spans="1:8" ht="63.75">
      <c r="A345" s="12" t="s">
        <v>224</v>
      </c>
      <c r="B345" s="201"/>
      <c r="C345" s="182">
        <v>10</v>
      </c>
      <c r="D345" s="182" t="s">
        <v>507</v>
      </c>
      <c r="E345" s="200" t="s">
        <v>7</v>
      </c>
      <c r="F345" s="200"/>
      <c r="G345" s="184">
        <f>G346</f>
        <v>5797348</v>
      </c>
      <c r="H345" s="120"/>
    </row>
    <row r="346" spans="1:8" ht="44.25" customHeight="1">
      <c r="A346" s="377" t="s">
        <v>882</v>
      </c>
      <c r="B346" s="201"/>
      <c r="C346" s="182">
        <v>10</v>
      </c>
      <c r="D346" s="182" t="s">
        <v>507</v>
      </c>
      <c r="E346" s="200" t="s">
        <v>866</v>
      </c>
      <c r="F346" s="200"/>
      <c r="G346" s="184">
        <f>G347</f>
        <v>5797348</v>
      </c>
      <c r="H346" s="120"/>
    </row>
    <row r="347" spans="1:8" ht="51">
      <c r="A347" s="377" t="s">
        <v>862</v>
      </c>
      <c r="B347" s="201"/>
      <c r="C347" s="182">
        <v>10</v>
      </c>
      <c r="D347" s="182" t="s">
        <v>507</v>
      </c>
      <c r="E347" s="200" t="s">
        <v>867</v>
      </c>
      <c r="F347" s="200"/>
      <c r="G347" s="184">
        <f>G349+G348</f>
        <v>5797348</v>
      </c>
      <c r="H347" s="120"/>
    </row>
    <row r="348" spans="1:8" ht="25.5">
      <c r="A348" s="13" t="s">
        <v>212</v>
      </c>
      <c r="B348" s="201"/>
      <c r="C348" s="182" t="s">
        <v>527</v>
      </c>
      <c r="D348" s="182" t="s">
        <v>507</v>
      </c>
      <c r="E348" s="128" t="s">
        <v>867</v>
      </c>
      <c r="F348" s="127">
        <v>200</v>
      </c>
      <c r="G348" s="138">
        <f>69421+25736</f>
        <v>95157</v>
      </c>
      <c r="H348" s="120"/>
    </row>
    <row r="349" spans="1:8" ht="25.5">
      <c r="A349" s="377" t="s">
        <v>205</v>
      </c>
      <c r="B349" s="201"/>
      <c r="C349" s="182">
        <v>10</v>
      </c>
      <c r="D349" s="182" t="s">
        <v>507</v>
      </c>
      <c r="E349" s="200" t="s">
        <v>867</v>
      </c>
      <c r="F349" s="200">
        <v>400</v>
      </c>
      <c r="G349" s="184">
        <v>5702191</v>
      </c>
      <c r="H349" s="120"/>
    </row>
    <row r="350" spans="1:8" ht="38.25">
      <c r="A350" s="198" t="s">
        <v>261</v>
      </c>
      <c r="B350" s="198"/>
      <c r="C350" s="182">
        <v>10</v>
      </c>
      <c r="D350" s="182" t="s">
        <v>507</v>
      </c>
      <c r="E350" s="183" t="s">
        <v>530</v>
      </c>
      <c r="F350" s="182"/>
      <c r="G350" s="184">
        <f>G351</f>
        <v>5116098</v>
      </c>
      <c r="H350" s="120"/>
    </row>
    <row r="351" spans="1:8" ht="51">
      <c r="A351" s="12" t="s">
        <v>262</v>
      </c>
      <c r="B351" s="12"/>
      <c r="C351" s="182">
        <v>10</v>
      </c>
      <c r="D351" s="182" t="s">
        <v>507</v>
      </c>
      <c r="E351" s="186" t="s">
        <v>531</v>
      </c>
      <c r="F351" s="182"/>
      <c r="G351" s="184">
        <f>G352</f>
        <v>5116098</v>
      </c>
      <c r="H351" s="120"/>
    </row>
    <row r="352" spans="1:8" ht="25.5">
      <c r="A352" s="19" t="s">
        <v>431</v>
      </c>
      <c r="B352" s="19"/>
      <c r="C352" s="182">
        <v>10</v>
      </c>
      <c r="D352" s="182" t="s">
        <v>507</v>
      </c>
      <c r="E352" s="186" t="s">
        <v>128</v>
      </c>
      <c r="F352" s="182"/>
      <c r="G352" s="184">
        <f>G353</f>
        <v>5116098</v>
      </c>
      <c r="H352" s="120"/>
    </row>
    <row r="353" spans="1:8" ht="12.75">
      <c r="A353" s="13" t="s">
        <v>307</v>
      </c>
      <c r="B353" s="13"/>
      <c r="C353" s="182">
        <v>10</v>
      </c>
      <c r="D353" s="182" t="s">
        <v>507</v>
      </c>
      <c r="E353" s="183" t="s">
        <v>227</v>
      </c>
      <c r="F353" s="182"/>
      <c r="G353" s="184">
        <f>SUM(G354:G355)</f>
        <v>5116098</v>
      </c>
      <c r="H353" s="120"/>
    </row>
    <row r="354" spans="1:8" ht="25.5">
      <c r="A354" s="13" t="s">
        <v>212</v>
      </c>
      <c r="B354" s="13"/>
      <c r="C354" s="182">
        <v>10</v>
      </c>
      <c r="D354" s="182" t="s">
        <v>507</v>
      </c>
      <c r="E354" s="183" t="s">
        <v>227</v>
      </c>
      <c r="F354" s="182">
        <v>200</v>
      </c>
      <c r="G354" s="181">
        <v>20382</v>
      </c>
      <c r="H354" s="120"/>
    </row>
    <row r="355" spans="1:8" ht="25.5">
      <c r="A355" s="180" t="s">
        <v>79</v>
      </c>
      <c r="B355" s="180"/>
      <c r="C355" s="178">
        <v>10</v>
      </c>
      <c r="D355" s="178" t="s">
        <v>507</v>
      </c>
      <c r="E355" s="179" t="s">
        <v>227</v>
      </c>
      <c r="F355" s="178">
        <v>300</v>
      </c>
      <c r="G355" s="177">
        <v>5095716</v>
      </c>
      <c r="H355" s="120"/>
    </row>
    <row r="356" spans="1:8" ht="12.75">
      <c r="A356" s="201" t="s">
        <v>546</v>
      </c>
      <c r="B356" s="201"/>
      <c r="C356" s="200" t="s">
        <v>527</v>
      </c>
      <c r="D356" s="200" t="s">
        <v>508</v>
      </c>
      <c r="E356" s="302"/>
      <c r="F356" s="301"/>
      <c r="G356" s="225">
        <f>G357</f>
        <v>334700</v>
      </c>
      <c r="H356" s="120"/>
    </row>
    <row r="357" spans="1:8" ht="52.5" customHeight="1">
      <c r="A357" s="198" t="s">
        <v>280</v>
      </c>
      <c r="B357" s="198"/>
      <c r="C357" s="182" t="s">
        <v>527</v>
      </c>
      <c r="D357" s="182" t="s">
        <v>508</v>
      </c>
      <c r="E357" s="182" t="s">
        <v>12</v>
      </c>
      <c r="F357" s="382"/>
      <c r="G357" s="181">
        <f>G358</f>
        <v>334700</v>
      </c>
      <c r="H357" s="120"/>
    </row>
    <row r="358" spans="1:8" ht="76.5">
      <c r="A358" s="12" t="s">
        <v>281</v>
      </c>
      <c r="B358" s="12"/>
      <c r="C358" s="182" t="s">
        <v>527</v>
      </c>
      <c r="D358" s="182" t="s">
        <v>508</v>
      </c>
      <c r="E358" s="182" t="s">
        <v>13</v>
      </c>
      <c r="F358" s="382"/>
      <c r="G358" s="181">
        <f>G359</f>
        <v>334700</v>
      </c>
      <c r="H358" s="120"/>
    </row>
    <row r="359" spans="1:8" ht="38.25">
      <c r="A359" s="139" t="s">
        <v>270</v>
      </c>
      <c r="B359" s="139"/>
      <c r="C359" s="127" t="s">
        <v>527</v>
      </c>
      <c r="D359" s="127" t="s">
        <v>508</v>
      </c>
      <c r="E359" s="127" t="s">
        <v>259</v>
      </c>
      <c r="F359" s="127"/>
      <c r="G359" s="126">
        <f>G360</f>
        <v>334700</v>
      </c>
      <c r="H359" s="120"/>
    </row>
    <row r="360" spans="1:8" ht="51">
      <c r="A360" s="139" t="s">
        <v>106</v>
      </c>
      <c r="B360" s="139"/>
      <c r="C360" s="127" t="s">
        <v>527</v>
      </c>
      <c r="D360" s="127" t="s">
        <v>508</v>
      </c>
      <c r="E360" s="127" t="s">
        <v>271</v>
      </c>
      <c r="F360" s="127"/>
      <c r="G360" s="126">
        <f>SUM(G361:G361)</f>
        <v>334700</v>
      </c>
      <c r="H360" s="120"/>
    </row>
    <row r="361" spans="1:8" ht="63.75">
      <c r="A361" s="139" t="s">
        <v>698</v>
      </c>
      <c r="B361" s="139"/>
      <c r="C361" s="127" t="s">
        <v>527</v>
      </c>
      <c r="D361" s="127" t="s">
        <v>508</v>
      </c>
      <c r="E361" s="127" t="s">
        <v>271</v>
      </c>
      <c r="F361" s="127">
        <v>100</v>
      </c>
      <c r="G361" s="138">
        <v>334700</v>
      </c>
      <c r="H361" s="120"/>
    </row>
    <row r="362" spans="1:8" ht="12.75">
      <c r="A362" s="161" t="s">
        <v>226</v>
      </c>
      <c r="B362" s="161"/>
      <c r="C362" s="159" t="s">
        <v>510</v>
      </c>
      <c r="D362" s="203" t="s">
        <v>436</v>
      </c>
      <c r="E362" s="159" t="s">
        <v>85</v>
      </c>
      <c r="F362" s="159" t="s">
        <v>85</v>
      </c>
      <c r="G362" s="202">
        <f aca="true" t="shared" si="0" ref="G362:G367">G363</f>
        <v>100000</v>
      </c>
      <c r="H362" s="120"/>
    </row>
    <row r="363" spans="1:8" ht="12.75">
      <c r="A363" s="201" t="s">
        <v>414</v>
      </c>
      <c r="B363" s="201"/>
      <c r="C363" s="200" t="s">
        <v>510</v>
      </c>
      <c r="D363" s="200" t="s">
        <v>506</v>
      </c>
      <c r="E363" s="200" t="s">
        <v>85</v>
      </c>
      <c r="F363" s="200" t="s">
        <v>85</v>
      </c>
      <c r="G363" s="184">
        <f t="shared" si="0"/>
        <v>100000</v>
      </c>
      <c r="H363" s="120"/>
    </row>
    <row r="364" spans="1:8" ht="63.75">
      <c r="A364" s="198" t="s">
        <v>413</v>
      </c>
      <c r="B364" s="198"/>
      <c r="C364" s="182" t="s">
        <v>510</v>
      </c>
      <c r="D364" s="182" t="s">
        <v>506</v>
      </c>
      <c r="E364" s="183" t="s">
        <v>412</v>
      </c>
      <c r="F364" s="196" t="s">
        <v>85</v>
      </c>
      <c r="G364" s="184">
        <f t="shared" si="0"/>
        <v>100000</v>
      </c>
      <c r="H364" s="120"/>
    </row>
    <row r="365" spans="1:8" ht="76.5">
      <c r="A365" s="12" t="s">
        <v>411</v>
      </c>
      <c r="B365" s="12"/>
      <c r="C365" s="182" t="s">
        <v>510</v>
      </c>
      <c r="D365" s="182" t="s">
        <v>506</v>
      </c>
      <c r="E365" s="183" t="s">
        <v>232</v>
      </c>
      <c r="F365" s="197" t="s">
        <v>85</v>
      </c>
      <c r="G365" s="184">
        <f t="shared" si="0"/>
        <v>100000</v>
      </c>
      <c r="H365" s="120"/>
    </row>
    <row r="366" spans="1:8" ht="63.75">
      <c r="A366" s="20" t="s">
        <v>231</v>
      </c>
      <c r="B366" s="20"/>
      <c r="C366" s="182" t="s">
        <v>510</v>
      </c>
      <c r="D366" s="182" t="s">
        <v>506</v>
      </c>
      <c r="E366" s="183" t="s">
        <v>230</v>
      </c>
      <c r="F366" s="197"/>
      <c r="G366" s="184">
        <f t="shared" si="0"/>
        <v>100000</v>
      </c>
      <c r="H366" s="120"/>
    </row>
    <row r="367" spans="1:8" ht="51">
      <c r="A367" s="20" t="s">
        <v>229</v>
      </c>
      <c r="B367" s="20"/>
      <c r="C367" s="182" t="s">
        <v>510</v>
      </c>
      <c r="D367" s="182" t="s">
        <v>506</v>
      </c>
      <c r="E367" s="183" t="s">
        <v>228</v>
      </c>
      <c r="F367" s="197"/>
      <c r="G367" s="184">
        <f t="shared" si="0"/>
        <v>100000</v>
      </c>
      <c r="H367" s="120"/>
    </row>
    <row r="368" spans="1:8" ht="25.5">
      <c r="A368" s="180" t="s">
        <v>212</v>
      </c>
      <c r="B368" s="180"/>
      <c r="C368" s="178" t="s">
        <v>510</v>
      </c>
      <c r="D368" s="178" t="s">
        <v>506</v>
      </c>
      <c r="E368" s="179" t="s">
        <v>228</v>
      </c>
      <c r="F368" s="204">
        <v>200</v>
      </c>
      <c r="G368" s="177">
        <v>100000</v>
      </c>
      <c r="H368" s="120"/>
    </row>
    <row r="369" spans="1:8" ht="25.5">
      <c r="A369" s="208" t="s">
        <v>437</v>
      </c>
      <c r="B369" s="207" t="s">
        <v>309</v>
      </c>
      <c r="C369" s="251"/>
      <c r="D369" s="251"/>
      <c r="E369" s="420"/>
      <c r="F369" s="206"/>
      <c r="G369" s="418">
        <f>G370+G379+G387+G396+G452</f>
        <v>68953330</v>
      </c>
      <c r="H369" s="120"/>
    </row>
    <row r="370" spans="1:8" ht="12.75">
      <c r="A370" s="161" t="s">
        <v>566</v>
      </c>
      <c r="B370" s="159"/>
      <c r="C370" s="159" t="s">
        <v>504</v>
      </c>
      <c r="D370" s="203" t="s">
        <v>436</v>
      </c>
      <c r="E370" s="159" t="s">
        <v>85</v>
      </c>
      <c r="F370" s="159" t="s">
        <v>85</v>
      </c>
      <c r="G370" s="158">
        <f>G371</f>
        <v>4420392</v>
      </c>
      <c r="H370" s="120"/>
    </row>
    <row r="371" spans="1:8" ht="38.25">
      <c r="A371" s="201" t="s">
        <v>329</v>
      </c>
      <c r="B371" s="200"/>
      <c r="C371" s="200" t="s">
        <v>504</v>
      </c>
      <c r="D371" s="200" t="s">
        <v>508</v>
      </c>
      <c r="E371" s="200" t="s">
        <v>85</v>
      </c>
      <c r="F371" s="200" t="s">
        <v>85</v>
      </c>
      <c r="G371" s="184">
        <f>G372</f>
        <v>4420392</v>
      </c>
      <c r="H371" s="120"/>
    </row>
    <row r="372" spans="1:8" ht="25.5">
      <c r="A372" s="198" t="s">
        <v>166</v>
      </c>
      <c r="B372" s="198"/>
      <c r="C372" s="182" t="s">
        <v>504</v>
      </c>
      <c r="D372" s="182" t="s">
        <v>508</v>
      </c>
      <c r="E372" s="182" t="s">
        <v>656</v>
      </c>
      <c r="F372" s="182" t="s">
        <v>85</v>
      </c>
      <c r="G372" s="184">
        <f>G373</f>
        <v>4420392</v>
      </c>
      <c r="H372" s="120"/>
    </row>
    <row r="373" spans="1:8" ht="51">
      <c r="A373" s="12" t="s">
        <v>168</v>
      </c>
      <c r="B373" s="12"/>
      <c r="C373" s="182" t="s">
        <v>504</v>
      </c>
      <c r="D373" s="182" t="s">
        <v>508</v>
      </c>
      <c r="E373" s="182" t="s">
        <v>657</v>
      </c>
      <c r="F373" s="185" t="s">
        <v>85</v>
      </c>
      <c r="G373" s="184">
        <f>G374</f>
        <v>4420392</v>
      </c>
      <c r="H373" s="120"/>
    </row>
    <row r="374" spans="1:8" ht="38.25">
      <c r="A374" s="17" t="s">
        <v>567</v>
      </c>
      <c r="B374" s="17"/>
      <c r="C374" s="182" t="s">
        <v>504</v>
      </c>
      <c r="D374" s="182" t="s">
        <v>508</v>
      </c>
      <c r="E374" s="182" t="s">
        <v>296</v>
      </c>
      <c r="F374" s="185"/>
      <c r="G374" s="184">
        <f>G375</f>
        <v>4420392</v>
      </c>
      <c r="H374" s="120"/>
    </row>
    <row r="375" spans="1:8" ht="25.5">
      <c r="A375" s="185" t="s">
        <v>694</v>
      </c>
      <c r="B375" s="185"/>
      <c r="C375" s="182" t="s">
        <v>504</v>
      </c>
      <c r="D375" s="182" t="s">
        <v>508</v>
      </c>
      <c r="E375" s="182" t="s">
        <v>658</v>
      </c>
      <c r="F375" s="182" t="s">
        <v>85</v>
      </c>
      <c r="G375" s="184">
        <f>SUM(G376:G378)</f>
        <v>4420392</v>
      </c>
      <c r="H375" s="120"/>
    </row>
    <row r="376" spans="1:8" ht="25.5" customHeight="1">
      <c r="A376" s="13" t="s">
        <v>698</v>
      </c>
      <c r="B376" s="13"/>
      <c r="C376" s="182" t="s">
        <v>504</v>
      </c>
      <c r="D376" s="182" t="s">
        <v>508</v>
      </c>
      <c r="E376" s="182" t="s">
        <v>658</v>
      </c>
      <c r="F376" s="182">
        <v>100</v>
      </c>
      <c r="G376" s="181">
        <f>4013155+4338</f>
        <v>4017493</v>
      </c>
      <c r="H376" s="120"/>
    </row>
    <row r="377" spans="1:8" ht="25.5">
      <c r="A377" s="13" t="s">
        <v>212</v>
      </c>
      <c r="B377" s="13"/>
      <c r="C377" s="182" t="s">
        <v>504</v>
      </c>
      <c r="D377" s="182" t="s">
        <v>508</v>
      </c>
      <c r="E377" s="182" t="s">
        <v>658</v>
      </c>
      <c r="F377" s="182" t="s">
        <v>72</v>
      </c>
      <c r="G377" s="181">
        <f>402899</f>
        <v>402899</v>
      </c>
      <c r="H377" s="120"/>
    </row>
    <row r="378" spans="1:8" ht="12.75">
      <c r="A378" s="13" t="s">
        <v>75</v>
      </c>
      <c r="B378" s="13"/>
      <c r="C378" s="182" t="s">
        <v>504</v>
      </c>
      <c r="D378" s="182" t="s">
        <v>508</v>
      </c>
      <c r="E378" s="182" t="s">
        <v>658</v>
      </c>
      <c r="F378" s="182">
        <v>800</v>
      </c>
      <c r="G378" s="181"/>
      <c r="H378" s="120"/>
    </row>
    <row r="379" spans="1:8" ht="12.75">
      <c r="A379" s="161" t="s">
        <v>686</v>
      </c>
      <c r="B379" s="161"/>
      <c r="C379" s="159" t="s">
        <v>507</v>
      </c>
      <c r="D379" s="203" t="s">
        <v>436</v>
      </c>
      <c r="E379" s="159" t="s">
        <v>85</v>
      </c>
      <c r="F379" s="159" t="s">
        <v>85</v>
      </c>
      <c r="G379" s="158">
        <f>G380</f>
        <v>334700</v>
      </c>
      <c r="H379" s="120"/>
    </row>
    <row r="380" spans="1:8" ht="12.75">
      <c r="A380" s="201" t="s">
        <v>687</v>
      </c>
      <c r="B380" s="201"/>
      <c r="C380" s="200" t="s">
        <v>507</v>
      </c>
      <c r="D380" s="200" t="s">
        <v>504</v>
      </c>
      <c r="E380" s="200" t="s">
        <v>85</v>
      </c>
      <c r="F380" s="200" t="s">
        <v>85</v>
      </c>
      <c r="G380" s="184">
        <f>G381</f>
        <v>334700</v>
      </c>
      <c r="H380" s="120"/>
    </row>
    <row r="381" spans="1:8" ht="38.25">
      <c r="A381" s="198" t="s">
        <v>665</v>
      </c>
      <c r="B381" s="198"/>
      <c r="C381" s="182" t="s">
        <v>507</v>
      </c>
      <c r="D381" s="182" t="s">
        <v>504</v>
      </c>
      <c r="E381" s="183" t="s">
        <v>21</v>
      </c>
      <c r="F381" s="182" t="s">
        <v>85</v>
      </c>
      <c r="G381" s="184">
        <f>G382</f>
        <v>334700</v>
      </c>
      <c r="H381" s="120"/>
    </row>
    <row r="382" spans="1:8" ht="51">
      <c r="A382" s="12" t="s">
        <v>558</v>
      </c>
      <c r="B382" s="12"/>
      <c r="C382" s="182" t="s">
        <v>507</v>
      </c>
      <c r="D382" s="182" t="s">
        <v>504</v>
      </c>
      <c r="E382" s="183" t="s">
        <v>26</v>
      </c>
      <c r="F382" s="182"/>
      <c r="G382" s="184">
        <f>G383</f>
        <v>334700</v>
      </c>
      <c r="H382" s="120"/>
    </row>
    <row r="383" spans="1:8" ht="39" customHeight="1">
      <c r="A383" s="17" t="s">
        <v>427</v>
      </c>
      <c r="B383" s="17"/>
      <c r="C383" s="182" t="s">
        <v>507</v>
      </c>
      <c r="D383" s="182" t="s">
        <v>504</v>
      </c>
      <c r="E383" s="183" t="s">
        <v>27</v>
      </c>
      <c r="F383" s="182"/>
      <c r="G383" s="184">
        <f>G384</f>
        <v>334700</v>
      </c>
      <c r="H383" s="120"/>
    </row>
    <row r="384" spans="1:8" ht="25.5">
      <c r="A384" s="185" t="s">
        <v>444</v>
      </c>
      <c r="B384" s="185"/>
      <c r="C384" s="182" t="s">
        <v>507</v>
      </c>
      <c r="D384" s="182" t="s">
        <v>504</v>
      </c>
      <c r="E384" s="183" t="s">
        <v>28</v>
      </c>
      <c r="F384" s="196" t="s">
        <v>85</v>
      </c>
      <c r="G384" s="184">
        <f>SUM(G385:G386)</f>
        <v>334700</v>
      </c>
      <c r="H384" s="120"/>
    </row>
    <row r="385" spans="1:8" ht="63.75">
      <c r="A385" s="13" t="s">
        <v>698</v>
      </c>
      <c r="B385" s="13"/>
      <c r="C385" s="182" t="s">
        <v>507</v>
      </c>
      <c r="D385" s="182" t="s">
        <v>504</v>
      </c>
      <c r="E385" s="183" t="s">
        <v>28</v>
      </c>
      <c r="F385" s="182">
        <v>100</v>
      </c>
      <c r="G385" s="181">
        <v>275523.51</v>
      </c>
      <c r="H385" s="120"/>
    </row>
    <row r="386" spans="1:8" ht="25.5">
      <c r="A386" s="13" t="s">
        <v>212</v>
      </c>
      <c r="B386" s="180"/>
      <c r="C386" s="178" t="s">
        <v>507</v>
      </c>
      <c r="D386" s="178" t="s">
        <v>504</v>
      </c>
      <c r="E386" s="179" t="s">
        <v>28</v>
      </c>
      <c r="F386" s="178">
        <v>200</v>
      </c>
      <c r="G386" s="177">
        <v>59176.49</v>
      </c>
      <c r="H386" s="120"/>
    </row>
    <row r="387" spans="1:8" ht="12.75">
      <c r="A387" s="161" t="s">
        <v>534</v>
      </c>
      <c r="B387" s="161"/>
      <c r="C387" s="159" t="s">
        <v>621</v>
      </c>
      <c r="D387" s="203" t="s">
        <v>436</v>
      </c>
      <c r="E387" s="159" t="s">
        <v>85</v>
      </c>
      <c r="F387" s="159" t="s">
        <v>85</v>
      </c>
      <c r="G387" s="158">
        <f>G388</f>
        <v>1556375</v>
      </c>
      <c r="H387" s="120"/>
    </row>
    <row r="388" spans="1:8" ht="12.75">
      <c r="A388" s="205" t="s">
        <v>537</v>
      </c>
      <c r="B388" s="205"/>
      <c r="C388" s="200" t="s">
        <v>621</v>
      </c>
      <c r="D388" s="200" t="s">
        <v>100</v>
      </c>
      <c r="E388" s="200" t="s">
        <v>85</v>
      </c>
      <c r="F388" s="200" t="s">
        <v>85</v>
      </c>
      <c r="G388" s="184">
        <f>G389</f>
        <v>1556375</v>
      </c>
      <c r="H388" s="120"/>
    </row>
    <row r="389" spans="1:8" ht="38.25">
      <c r="A389" s="198" t="s">
        <v>263</v>
      </c>
      <c r="B389" s="198"/>
      <c r="C389" s="182" t="s">
        <v>621</v>
      </c>
      <c r="D389" s="182" t="s">
        <v>100</v>
      </c>
      <c r="E389" s="183" t="s">
        <v>530</v>
      </c>
      <c r="F389" s="182" t="s">
        <v>85</v>
      </c>
      <c r="G389" s="184">
        <f>G390</f>
        <v>1556375</v>
      </c>
      <c r="H389" s="120"/>
    </row>
    <row r="390" spans="1:8" ht="51">
      <c r="A390" s="12" t="s">
        <v>671</v>
      </c>
      <c r="B390" s="12"/>
      <c r="C390" s="182" t="s">
        <v>621</v>
      </c>
      <c r="D390" s="182" t="s">
        <v>100</v>
      </c>
      <c r="E390" s="183" t="s">
        <v>293</v>
      </c>
      <c r="F390" s="185" t="s">
        <v>85</v>
      </c>
      <c r="G390" s="184">
        <f>G391</f>
        <v>1556375</v>
      </c>
      <c r="H390" s="120"/>
    </row>
    <row r="391" spans="1:8" ht="38.25">
      <c r="A391" s="185" t="s">
        <v>604</v>
      </c>
      <c r="B391" s="185"/>
      <c r="C391" s="182" t="s">
        <v>621</v>
      </c>
      <c r="D391" s="182" t="s">
        <v>100</v>
      </c>
      <c r="E391" s="183" t="s">
        <v>606</v>
      </c>
      <c r="F391" s="182"/>
      <c r="G391" s="184">
        <f>G392</f>
        <v>1556375</v>
      </c>
      <c r="H391" s="120"/>
    </row>
    <row r="392" spans="1:8" ht="25.5">
      <c r="A392" s="185" t="s">
        <v>694</v>
      </c>
      <c r="B392" s="185"/>
      <c r="C392" s="182" t="s">
        <v>621</v>
      </c>
      <c r="D392" s="182" t="s">
        <v>100</v>
      </c>
      <c r="E392" s="183" t="s">
        <v>607</v>
      </c>
      <c r="F392" s="182"/>
      <c r="G392" s="184">
        <f>SUM(G393:G395)</f>
        <v>1556375</v>
      </c>
      <c r="H392" s="120"/>
    </row>
    <row r="393" spans="1:8" ht="63.75">
      <c r="A393" s="13" t="s">
        <v>698</v>
      </c>
      <c r="B393" s="13"/>
      <c r="C393" s="182" t="s">
        <v>621</v>
      </c>
      <c r="D393" s="182" t="s">
        <v>100</v>
      </c>
      <c r="E393" s="183" t="s">
        <v>607</v>
      </c>
      <c r="F393" s="182" t="s">
        <v>565</v>
      </c>
      <c r="G393" s="181">
        <v>1359675</v>
      </c>
      <c r="H393" s="120"/>
    </row>
    <row r="394" spans="1:8" ht="25.5">
      <c r="A394" s="13" t="s">
        <v>212</v>
      </c>
      <c r="B394" s="13"/>
      <c r="C394" s="182" t="s">
        <v>621</v>
      </c>
      <c r="D394" s="182" t="s">
        <v>100</v>
      </c>
      <c r="E394" s="183" t="s">
        <v>607</v>
      </c>
      <c r="F394" s="182" t="s">
        <v>72</v>
      </c>
      <c r="G394" s="181">
        <v>196700</v>
      </c>
      <c r="H394" s="120"/>
    </row>
    <row r="395" spans="1:8" ht="12.75" hidden="1">
      <c r="A395" s="180" t="s">
        <v>75</v>
      </c>
      <c r="B395" s="180"/>
      <c r="C395" s="178" t="s">
        <v>621</v>
      </c>
      <c r="D395" s="178" t="s">
        <v>100</v>
      </c>
      <c r="E395" s="179" t="s">
        <v>607</v>
      </c>
      <c r="F395" s="178">
        <v>800</v>
      </c>
      <c r="G395" s="177"/>
      <c r="H395" s="120"/>
    </row>
    <row r="396" spans="1:8" ht="12.75">
      <c r="A396" s="161" t="s">
        <v>539</v>
      </c>
      <c r="B396" s="161"/>
      <c r="C396" s="159" t="s">
        <v>527</v>
      </c>
      <c r="D396" s="203" t="s">
        <v>436</v>
      </c>
      <c r="E396" s="159" t="s">
        <v>85</v>
      </c>
      <c r="F396" s="159" t="s">
        <v>85</v>
      </c>
      <c r="G396" s="158">
        <f>G403+G421+G434+G397</f>
        <v>62608863</v>
      </c>
      <c r="H396" s="120"/>
    </row>
    <row r="397" spans="1:8" ht="12.75">
      <c r="A397" s="132" t="s">
        <v>901</v>
      </c>
      <c r="B397" s="223"/>
      <c r="C397" s="131" t="s">
        <v>527</v>
      </c>
      <c r="D397" s="131" t="s">
        <v>504</v>
      </c>
      <c r="E397" s="131"/>
      <c r="F397" s="131"/>
      <c r="G397" s="126">
        <f>G398</f>
        <v>826190</v>
      </c>
      <c r="H397" s="120"/>
    </row>
    <row r="398" spans="1:8" ht="25.5">
      <c r="A398" s="130" t="s">
        <v>714</v>
      </c>
      <c r="B398" s="223"/>
      <c r="C398" s="127" t="s">
        <v>527</v>
      </c>
      <c r="D398" s="127" t="s">
        <v>504</v>
      </c>
      <c r="E398" s="128" t="s">
        <v>207</v>
      </c>
      <c r="F398" s="127"/>
      <c r="G398" s="126">
        <f>G399</f>
        <v>826190</v>
      </c>
      <c r="H398" s="120"/>
    </row>
    <row r="399" spans="1:8" ht="51">
      <c r="A399" s="70" t="s">
        <v>158</v>
      </c>
      <c r="B399" s="223"/>
      <c r="C399" s="127" t="s">
        <v>527</v>
      </c>
      <c r="D399" s="127" t="s">
        <v>504</v>
      </c>
      <c r="E399" s="128" t="s">
        <v>114</v>
      </c>
      <c r="F399" s="127"/>
      <c r="G399" s="126">
        <f>G400</f>
        <v>826190</v>
      </c>
      <c r="H399" s="120"/>
    </row>
    <row r="400" spans="1:8" ht="25.5">
      <c r="A400" s="322" t="s">
        <v>902</v>
      </c>
      <c r="B400" s="223"/>
      <c r="C400" s="127" t="s">
        <v>527</v>
      </c>
      <c r="D400" s="127" t="s">
        <v>504</v>
      </c>
      <c r="E400" s="128" t="s">
        <v>904</v>
      </c>
      <c r="F400" s="127"/>
      <c r="G400" s="126">
        <f>G401</f>
        <v>826190</v>
      </c>
      <c r="H400" s="120"/>
    </row>
    <row r="401" spans="1:8" ht="25.5">
      <c r="A401" s="129" t="s">
        <v>903</v>
      </c>
      <c r="B401" s="223"/>
      <c r="C401" s="127" t="s">
        <v>527</v>
      </c>
      <c r="D401" s="127" t="s">
        <v>504</v>
      </c>
      <c r="E401" s="128" t="s">
        <v>905</v>
      </c>
      <c r="F401" s="127"/>
      <c r="G401" s="126">
        <f>G402</f>
        <v>826190</v>
      </c>
      <c r="H401" s="120"/>
    </row>
    <row r="402" spans="1:8" ht="25.5">
      <c r="A402" s="129" t="s">
        <v>79</v>
      </c>
      <c r="B402" s="223"/>
      <c r="C402" s="127" t="s">
        <v>527</v>
      </c>
      <c r="D402" s="127" t="s">
        <v>504</v>
      </c>
      <c r="E402" s="128" t="s">
        <v>905</v>
      </c>
      <c r="F402" s="127" t="s">
        <v>78</v>
      </c>
      <c r="G402" s="181">
        <v>826190</v>
      </c>
      <c r="H402" s="120"/>
    </row>
    <row r="403" spans="1:8" ht="12.75">
      <c r="A403" s="201" t="s">
        <v>540</v>
      </c>
      <c r="B403" s="201"/>
      <c r="C403" s="200" t="s">
        <v>527</v>
      </c>
      <c r="D403" s="200" t="s">
        <v>99</v>
      </c>
      <c r="E403" s="200" t="s">
        <v>85</v>
      </c>
      <c r="F403" s="200" t="s">
        <v>85</v>
      </c>
      <c r="G403" s="184">
        <f>G404</f>
        <v>7638287</v>
      </c>
      <c r="H403" s="120"/>
    </row>
    <row r="404" spans="1:8" ht="25.5">
      <c r="A404" s="198" t="s">
        <v>157</v>
      </c>
      <c r="B404" s="198"/>
      <c r="C404" s="182" t="s">
        <v>527</v>
      </c>
      <c r="D404" s="182" t="s">
        <v>99</v>
      </c>
      <c r="E404" s="183" t="s">
        <v>207</v>
      </c>
      <c r="F404" s="182" t="s">
        <v>85</v>
      </c>
      <c r="G404" s="184">
        <f>G405</f>
        <v>7638287</v>
      </c>
      <c r="H404" s="120"/>
    </row>
    <row r="405" spans="1:8" ht="51">
      <c r="A405" s="12" t="s">
        <v>158</v>
      </c>
      <c r="B405" s="12"/>
      <c r="C405" s="182" t="s">
        <v>527</v>
      </c>
      <c r="D405" s="182" t="s">
        <v>99</v>
      </c>
      <c r="E405" s="186" t="s">
        <v>114</v>
      </c>
      <c r="F405" s="185" t="s">
        <v>85</v>
      </c>
      <c r="G405" s="184">
        <f>G406+G413+G417</f>
        <v>7638287</v>
      </c>
      <c r="H405" s="120"/>
    </row>
    <row r="406" spans="1:8" ht="25.5">
      <c r="A406" s="18" t="s">
        <v>609</v>
      </c>
      <c r="B406" s="18"/>
      <c r="C406" s="182" t="s">
        <v>527</v>
      </c>
      <c r="D406" s="182" t="s">
        <v>99</v>
      </c>
      <c r="E406" s="186" t="s">
        <v>123</v>
      </c>
      <c r="F406" s="182"/>
      <c r="G406" s="184">
        <f>G407+G410</f>
        <v>7217643</v>
      </c>
      <c r="H406" s="120"/>
    </row>
    <row r="407" spans="1:8" ht="25.5">
      <c r="A407" s="185" t="s">
        <v>562</v>
      </c>
      <c r="B407" s="185"/>
      <c r="C407" s="182" t="s">
        <v>527</v>
      </c>
      <c r="D407" s="182" t="s">
        <v>99</v>
      </c>
      <c r="E407" s="183" t="s">
        <v>610</v>
      </c>
      <c r="F407" s="182" t="s">
        <v>85</v>
      </c>
      <c r="G407" s="184">
        <f>SUM(G408:G409)</f>
        <v>6840366</v>
      </c>
      <c r="H407" s="120"/>
    </row>
    <row r="408" spans="1:8" ht="25.5">
      <c r="A408" s="13" t="s">
        <v>212</v>
      </c>
      <c r="B408" s="13"/>
      <c r="C408" s="182" t="s">
        <v>527</v>
      </c>
      <c r="D408" s="182" t="s">
        <v>99</v>
      </c>
      <c r="E408" s="183" t="s">
        <v>610</v>
      </c>
      <c r="F408" s="182">
        <v>200</v>
      </c>
      <c r="G408" s="181">
        <v>71000</v>
      </c>
      <c r="H408" s="120"/>
    </row>
    <row r="409" spans="1:8" ht="25.5">
      <c r="A409" s="13" t="s">
        <v>79</v>
      </c>
      <c r="B409" s="13"/>
      <c r="C409" s="182" t="s">
        <v>527</v>
      </c>
      <c r="D409" s="182" t="s">
        <v>99</v>
      </c>
      <c r="E409" s="183" t="s">
        <v>610</v>
      </c>
      <c r="F409" s="182">
        <v>300</v>
      </c>
      <c r="G409" s="181">
        <v>6769366</v>
      </c>
      <c r="H409" s="120"/>
    </row>
    <row r="410" spans="1:8" ht="25.5">
      <c r="A410" s="185" t="s">
        <v>563</v>
      </c>
      <c r="B410" s="185"/>
      <c r="C410" s="182" t="s">
        <v>527</v>
      </c>
      <c r="D410" s="182" t="s">
        <v>99</v>
      </c>
      <c r="E410" s="183" t="s">
        <v>611</v>
      </c>
      <c r="F410" s="182" t="s">
        <v>85</v>
      </c>
      <c r="G410" s="184">
        <f>SUM(G411:G412)</f>
        <v>377277</v>
      </c>
      <c r="H410" s="120"/>
    </row>
    <row r="411" spans="1:8" ht="25.5">
      <c r="A411" s="13" t="s">
        <v>212</v>
      </c>
      <c r="B411" s="13"/>
      <c r="C411" s="182" t="s">
        <v>527</v>
      </c>
      <c r="D411" s="182" t="s">
        <v>99</v>
      </c>
      <c r="E411" s="183" t="s">
        <v>611</v>
      </c>
      <c r="F411" s="182">
        <v>200</v>
      </c>
      <c r="G411" s="181">
        <v>9500</v>
      </c>
      <c r="H411" s="120"/>
    </row>
    <row r="412" spans="1:8" ht="25.5">
      <c r="A412" s="13" t="s">
        <v>79</v>
      </c>
      <c r="B412" s="13"/>
      <c r="C412" s="182" t="s">
        <v>527</v>
      </c>
      <c r="D412" s="182" t="s">
        <v>99</v>
      </c>
      <c r="E412" s="183" t="s">
        <v>611</v>
      </c>
      <c r="F412" s="182" t="s">
        <v>78</v>
      </c>
      <c r="G412" s="181">
        <v>367777</v>
      </c>
      <c r="H412" s="120"/>
    </row>
    <row r="413" spans="1:8" ht="25.5">
      <c r="A413" s="17" t="s">
        <v>120</v>
      </c>
      <c r="B413" s="17"/>
      <c r="C413" s="200" t="s">
        <v>527</v>
      </c>
      <c r="D413" s="200" t="s">
        <v>99</v>
      </c>
      <c r="E413" s="186" t="s">
        <v>124</v>
      </c>
      <c r="F413" s="200"/>
      <c r="G413" s="184">
        <f>G414</f>
        <v>134715</v>
      </c>
      <c r="H413" s="120"/>
    </row>
    <row r="414" spans="1:8" ht="38.25">
      <c r="A414" s="185" t="s">
        <v>246</v>
      </c>
      <c r="B414" s="185"/>
      <c r="C414" s="182" t="s">
        <v>527</v>
      </c>
      <c r="D414" s="182" t="s">
        <v>99</v>
      </c>
      <c r="E414" s="183" t="s">
        <v>125</v>
      </c>
      <c r="F414" s="182" t="s">
        <v>85</v>
      </c>
      <c r="G414" s="184">
        <f>SUM(G415:G416)</f>
        <v>134715</v>
      </c>
      <c r="H414" s="120"/>
    </row>
    <row r="415" spans="1:8" ht="25.5">
      <c r="A415" s="13" t="s">
        <v>212</v>
      </c>
      <c r="B415" s="13"/>
      <c r="C415" s="182" t="s">
        <v>527</v>
      </c>
      <c r="D415" s="182" t="s">
        <v>99</v>
      </c>
      <c r="E415" s="183" t="s">
        <v>125</v>
      </c>
      <c r="F415" s="182">
        <v>200</v>
      </c>
      <c r="G415" s="184">
        <v>1900</v>
      </c>
      <c r="H415" s="120"/>
    </row>
    <row r="416" spans="1:8" ht="25.5">
      <c r="A416" s="13" t="s">
        <v>79</v>
      </c>
      <c r="B416" s="13"/>
      <c r="C416" s="182" t="s">
        <v>527</v>
      </c>
      <c r="D416" s="182" t="s">
        <v>99</v>
      </c>
      <c r="E416" s="183" t="s">
        <v>125</v>
      </c>
      <c r="F416" s="182" t="s">
        <v>78</v>
      </c>
      <c r="G416" s="181">
        <v>132815</v>
      </c>
      <c r="H416" s="120"/>
    </row>
    <row r="417" spans="1:8" ht="38.25">
      <c r="A417" s="22" t="s">
        <v>612</v>
      </c>
      <c r="B417" s="22"/>
      <c r="C417" s="200" t="s">
        <v>527</v>
      </c>
      <c r="D417" s="200" t="s">
        <v>99</v>
      </c>
      <c r="E417" s="186" t="s">
        <v>126</v>
      </c>
      <c r="F417" s="200"/>
      <c r="G417" s="184">
        <f>G418</f>
        <v>285929</v>
      </c>
      <c r="H417" s="120"/>
    </row>
    <row r="418" spans="1:8" ht="38.25">
      <c r="A418" s="185" t="s">
        <v>466</v>
      </c>
      <c r="B418" s="185"/>
      <c r="C418" s="182" t="s">
        <v>527</v>
      </c>
      <c r="D418" s="182" t="s">
        <v>99</v>
      </c>
      <c r="E418" s="183" t="s">
        <v>127</v>
      </c>
      <c r="F418" s="182" t="s">
        <v>85</v>
      </c>
      <c r="G418" s="184">
        <f>SUM(G419:G420)</f>
        <v>285929</v>
      </c>
      <c r="H418" s="120"/>
    </row>
    <row r="419" spans="1:8" ht="25.5">
      <c r="A419" s="13" t="s">
        <v>212</v>
      </c>
      <c r="B419" s="13"/>
      <c r="C419" s="182" t="s">
        <v>527</v>
      </c>
      <c r="D419" s="182" t="s">
        <v>99</v>
      </c>
      <c r="E419" s="183" t="s">
        <v>127</v>
      </c>
      <c r="F419" s="182">
        <v>200</v>
      </c>
      <c r="G419" s="181">
        <v>2000</v>
      </c>
      <c r="H419" s="120"/>
    </row>
    <row r="420" spans="1:8" ht="25.5">
      <c r="A420" s="13" t="s">
        <v>79</v>
      </c>
      <c r="B420" s="13"/>
      <c r="C420" s="182" t="s">
        <v>527</v>
      </c>
      <c r="D420" s="182" t="s">
        <v>99</v>
      </c>
      <c r="E420" s="183" t="s">
        <v>127</v>
      </c>
      <c r="F420" s="182">
        <v>300</v>
      </c>
      <c r="G420" s="181">
        <v>283929</v>
      </c>
      <c r="H420" s="120"/>
    </row>
    <row r="421" spans="1:8" ht="12.75">
      <c r="A421" s="201" t="s">
        <v>541</v>
      </c>
      <c r="B421" s="201"/>
      <c r="C421" s="200" t="s">
        <v>527</v>
      </c>
      <c r="D421" s="200" t="s">
        <v>507</v>
      </c>
      <c r="E421" s="200" t="s">
        <v>85</v>
      </c>
      <c r="F421" s="200" t="s">
        <v>85</v>
      </c>
      <c r="G421" s="184">
        <f>G422</f>
        <v>49702586</v>
      </c>
      <c r="H421" s="120"/>
    </row>
    <row r="422" spans="1:8" ht="25.5">
      <c r="A422" s="198" t="s">
        <v>157</v>
      </c>
      <c r="B422" s="198"/>
      <c r="C422" s="182" t="s">
        <v>527</v>
      </c>
      <c r="D422" s="182" t="s">
        <v>507</v>
      </c>
      <c r="E422" s="183" t="s">
        <v>207</v>
      </c>
      <c r="F422" s="182"/>
      <c r="G422" s="184">
        <f>G423</f>
        <v>49702586</v>
      </c>
      <c r="H422" s="120"/>
    </row>
    <row r="423" spans="1:8" ht="63.75">
      <c r="A423" s="12" t="s">
        <v>224</v>
      </c>
      <c r="B423" s="12"/>
      <c r="C423" s="182" t="s">
        <v>527</v>
      </c>
      <c r="D423" s="182" t="s">
        <v>507</v>
      </c>
      <c r="E423" s="186" t="s">
        <v>7</v>
      </c>
      <c r="F423" s="185" t="s">
        <v>85</v>
      </c>
      <c r="G423" s="184">
        <f>G424+G431</f>
        <v>49702586</v>
      </c>
      <c r="H423" s="120"/>
    </row>
    <row r="424" spans="1:8" ht="38.25">
      <c r="A424" s="18" t="s">
        <v>720</v>
      </c>
      <c r="B424" s="18"/>
      <c r="C424" s="182" t="s">
        <v>527</v>
      </c>
      <c r="D424" s="182" t="s">
        <v>507</v>
      </c>
      <c r="E424" s="182" t="s">
        <v>121</v>
      </c>
      <c r="F424" s="182"/>
      <c r="G424" s="184">
        <f>G425+G427+G429</f>
        <v>43630977</v>
      </c>
      <c r="H424" s="120"/>
    </row>
    <row r="425" spans="1:8" ht="12.75">
      <c r="A425" s="17" t="s">
        <v>528</v>
      </c>
      <c r="B425" s="17"/>
      <c r="C425" s="182" t="s">
        <v>527</v>
      </c>
      <c r="D425" s="182" t="s">
        <v>507</v>
      </c>
      <c r="E425" s="183" t="s">
        <v>721</v>
      </c>
      <c r="F425" s="182"/>
      <c r="G425" s="184">
        <f>G426</f>
        <v>1839382</v>
      </c>
      <c r="H425" s="120"/>
    </row>
    <row r="426" spans="1:8" ht="25.5">
      <c r="A426" s="13" t="s">
        <v>79</v>
      </c>
      <c r="B426" s="13"/>
      <c r="C426" s="182" t="s">
        <v>527</v>
      </c>
      <c r="D426" s="182" t="s">
        <v>507</v>
      </c>
      <c r="E426" s="183" t="s">
        <v>721</v>
      </c>
      <c r="F426" s="182">
        <v>300</v>
      </c>
      <c r="G426" s="181">
        <v>1839382</v>
      </c>
      <c r="H426" s="120"/>
    </row>
    <row r="427" spans="1:8" ht="25.5">
      <c r="A427" s="141" t="s">
        <v>484</v>
      </c>
      <c r="B427" s="13"/>
      <c r="C427" s="182" t="s">
        <v>527</v>
      </c>
      <c r="D427" s="182" t="s">
        <v>507</v>
      </c>
      <c r="E427" s="183" t="s">
        <v>485</v>
      </c>
      <c r="F427" s="182"/>
      <c r="G427" s="181">
        <f>G428</f>
        <v>41186977</v>
      </c>
      <c r="H427" s="120"/>
    </row>
    <row r="428" spans="1:8" ht="25.5">
      <c r="A428" s="13" t="s">
        <v>79</v>
      </c>
      <c r="B428" s="13"/>
      <c r="C428" s="182" t="s">
        <v>527</v>
      </c>
      <c r="D428" s="182" t="s">
        <v>507</v>
      </c>
      <c r="E428" s="183" t="s">
        <v>485</v>
      </c>
      <c r="F428" s="182">
        <v>300</v>
      </c>
      <c r="G428" s="181">
        <v>41186977</v>
      </c>
      <c r="H428" s="120"/>
    </row>
    <row r="429" spans="1:8" ht="38.25">
      <c r="A429" s="141" t="s">
        <v>486</v>
      </c>
      <c r="B429" s="13"/>
      <c r="C429" s="182" t="s">
        <v>527</v>
      </c>
      <c r="D429" s="182" t="s">
        <v>507</v>
      </c>
      <c r="E429" s="183" t="s">
        <v>487</v>
      </c>
      <c r="F429" s="182"/>
      <c r="G429" s="181">
        <f>G430</f>
        <v>604618</v>
      </c>
      <c r="H429" s="120"/>
    </row>
    <row r="430" spans="1:8" ht="25.5">
      <c r="A430" s="13" t="s">
        <v>212</v>
      </c>
      <c r="B430" s="13"/>
      <c r="C430" s="182" t="s">
        <v>527</v>
      </c>
      <c r="D430" s="182" t="s">
        <v>507</v>
      </c>
      <c r="E430" s="183" t="s">
        <v>487</v>
      </c>
      <c r="F430" s="182">
        <v>200</v>
      </c>
      <c r="G430" s="181">
        <v>604618</v>
      </c>
      <c r="H430" s="120"/>
    </row>
    <row r="431" spans="1:8" ht="51">
      <c r="A431" s="18" t="s">
        <v>122</v>
      </c>
      <c r="B431" s="18"/>
      <c r="C431" s="182" t="s">
        <v>527</v>
      </c>
      <c r="D431" s="182" t="s">
        <v>507</v>
      </c>
      <c r="E431" s="186" t="s">
        <v>722</v>
      </c>
      <c r="F431" s="185"/>
      <c r="G431" s="184">
        <f>G432</f>
        <v>6071609</v>
      </c>
      <c r="H431" s="120"/>
    </row>
    <row r="432" spans="1:8" ht="38.25">
      <c r="A432" s="185" t="s">
        <v>564</v>
      </c>
      <c r="B432" s="185"/>
      <c r="C432" s="182" t="s">
        <v>527</v>
      </c>
      <c r="D432" s="182" t="s">
        <v>507</v>
      </c>
      <c r="E432" s="183" t="s">
        <v>723</v>
      </c>
      <c r="F432" s="182" t="s">
        <v>85</v>
      </c>
      <c r="G432" s="184">
        <f>SUM(G433:G433)</f>
        <v>6071609</v>
      </c>
      <c r="H432" s="120"/>
    </row>
    <row r="433" spans="1:8" ht="25.5">
      <c r="A433" s="13" t="s">
        <v>79</v>
      </c>
      <c r="B433" s="13"/>
      <c r="C433" s="182" t="s">
        <v>527</v>
      </c>
      <c r="D433" s="182" t="s">
        <v>507</v>
      </c>
      <c r="E433" s="183" t="s">
        <v>723</v>
      </c>
      <c r="F433" s="182">
        <v>300</v>
      </c>
      <c r="G433" s="181">
        <v>6071609</v>
      </c>
      <c r="H433" s="120"/>
    </row>
    <row r="434" spans="1:8" ht="12.75">
      <c r="A434" s="201" t="s">
        <v>546</v>
      </c>
      <c r="B434" s="201"/>
      <c r="C434" s="200" t="s">
        <v>527</v>
      </c>
      <c r="D434" s="200" t="s">
        <v>508</v>
      </c>
      <c r="E434" s="200" t="s">
        <v>85</v>
      </c>
      <c r="F434" s="200" t="s">
        <v>85</v>
      </c>
      <c r="G434" s="184">
        <f>G435</f>
        <v>4441800</v>
      </c>
      <c r="H434" s="120"/>
    </row>
    <row r="435" spans="1:8" ht="25.5">
      <c r="A435" s="198" t="s">
        <v>157</v>
      </c>
      <c r="B435" s="198"/>
      <c r="C435" s="182" t="s">
        <v>527</v>
      </c>
      <c r="D435" s="182" t="s">
        <v>508</v>
      </c>
      <c r="E435" s="183" t="s">
        <v>207</v>
      </c>
      <c r="F435" s="182" t="s">
        <v>85</v>
      </c>
      <c r="G435" s="184">
        <f>G436+G446</f>
        <v>4441800</v>
      </c>
      <c r="H435" s="120"/>
    </row>
    <row r="436" spans="1:8" ht="51">
      <c r="A436" s="12" t="s">
        <v>355</v>
      </c>
      <c r="B436" s="12"/>
      <c r="C436" s="182" t="s">
        <v>527</v>
      </c>
      <c r="D436" s="182" t="s">
        <v>508</v>
      </c>
      <c r="E436" s="186" t="s">
        <v>6</v>
      </c>
      <c r="F436" s="185" t="s">
        <v>85</v>
      </c>
      <c r="G436" s="184">
        <f>G437+G442</f>
        <v>3437700</v>
      </c>
      <c r="H436" s="120"/>
    </row>
    <row r="437" spans="1:8" ht="51">
      <c r="A437" s="19" t="s">
        <v>724</v>
      </c>
      <c r="B437" s="19"/>
      <c r="C437" s="182" t="s">
        <v>527</v>
      </c>
      <c r="D437" s="182" t="s">
        <v>508</v>
      </c>
      <c r="E437" s="186" t="s">
        <v>725</v>
      </c>
      <c r="F437" s="185"/>
      <c r="G437" s="184">
        <f>G438</f>
        <v>2342900</v>
      </c>
      <c r="H437" s="120"/>
    </row>
    <row r="438" spans="1:8" ht="38.25">
      <c r="A438" s="185" t="s">
        <v>365</v>
      </c>
      <c r="B438" s="185"/>
      <c r="C438" s="182" t="s">
        <v>527</v>
      </c>
      <c r="D438" s="182" t="s">
        <v>508</v>
      </c>
      <c r="E438" s="186" t="s">
        <v>726</v>
      </c>
      <c r="F438" s="182" t="s">
        <v>85</v>
      </c>
      <c r="G438" s="184">
        <f>SUM(G439:G441)</f>
        <v>2342900</v>
      </c>
      <c r="H438" s="120"/>
    </row>
    <row r="439" spans="1:8" ht="63.75">
      <c r="A439" s="13" t="s">
        <v>698</v>
      </c>
      <c r="B439" s="13"/>
      <c r="C439" s="182" t="s">
        <v>527</v>
      </c>
      <c r="D439" s="182" t="s">
        <v>508</v>
      </c>
      <c r="E439" s="186" t="s">
        <v>726</v>
      </c>
      <c r="F439" s="182">
        <v>100</v>
      </c>
      <c r="G439" s="181">
        <v>2232400</v>
      </c>
      <c r="H439" s="120"/>
    </row>
    <row r="440" spans="1:8" ht="25.5">
      <c r="A440" s="13" t="s">
        <v>212</v>
      </c>
      <c r="B440" s="13"/>
      <c r="C440" s="182" t="s">
        <v>527</v>
      </c>
      <c r="D440" s="182" t="s">
        <v>508</v>
      </c>
      <c r="E440" s="186" t="s">
        <v>726</v>
      </c>
      <c r="F440" s="185">
        <v>200</v>
      </c>
      <c r="G440" s="181">
        <v>110500</v>
      </c>
      <c r="H440" s="120"/>
    </row>
    <row r="441" spans="1:8" ht="12.75">
      <c r="A441" s="13" t="s">
        <v>75</v>
      </c>
      <c r="B441" s="13"/>
      <c r="C441" s="182" t="s">
        <v>527</v>
      </c>
      <c r="D441" s="182" t="s">
        <v>508</v>
      </c>
      <c r="E441" s="186" t="s">
        <v>726</v>
      </c>
      <c r="F441" s="185">
        <v>800</v>
      </c>
      <c r="G441" s="181">
        <v>0</v>
      </c>
      <c r="H441" s="120"/>
    </row>
    <row r="442" spans="1:8" ht="63.75">
      <c r="A442" s="139" t="s">
        <v>673</v>
      </c>
      <c r="B442" s="13"/>
      <c r="C442" s="182" t="s">
        <v>527</v>
      </c>
      <c r="D442" s="182" t="s">
        <v>508</v>
      </c>
      <c r="E442" s="183" t="s">
        <v>317</v>
      </c>
      <c r="F442" s="185"/>
      <c r="G442" s="181">
        <f>G443+G444+G445</f>
        <v>1094800</v>
      </c>
      <c r="H442" s="120"/>
    </row>
    <row r="443" spans="1:8" ht="63.75">
      <c r="A443" s="13" t="s">
        <v>698</v>
      </c>
      <c r="B443" s="13"/>
      <c r="C443" s="182" t="s">
        <v>527</v>
      </c>
      <c r="D443" s="182" t="s">
        <v>508</v>
      </c>
      <c r="E443" s="183" t="s">
        <v>317</v>
      </c>
      <c r="F443" s="185">
        <v>100</v>
      </c>
      <c r="G443" s="181">
        <v>834784.98</v>
      </c>
      <c r="H443" s="120"/>
    </row>
    <row r="444" spans="1:8" ht="25.5">
      <c r="A444" s="13" t="s">
        <v>212</v>
      </c>
      <c r="B444" s="13"/>
      <c r="C444" s="182" t="s">
        <v>527</v>
      </c>
      <c r="D444" s="182" t="s">
        <v>508</v>
      </c>
      <c r="E444" s="183" t="s">
        <v>317</v>
      </c>
      <c r="F444" s="185">
        <v>200</v>
      </c>
      <c r="G444" s="181">
        <v>260015.02</v>
      </c>
      <c r="H444" s="120"/>
    </row>
    <row r="445" spans="1:8" ht="12.75" hidden="1">
      <c r="A445" s="180" t="s">
        <v>75</v>
      </c>
      <c r="B445" s="180"/>
      <c r="C445" s="178" t="s">
        <v>527</v>
      </c>
      <c r="D445" s="178" t="s">
        <v>508</v>
      </c>
      <c r="E445" s="179" t="s">
        <v>317</v>
      </c>
      <c r="F445" s="204">
        <v>800</v>
      </c>
      <c r="G445" s="177">
        <v>0</v>
      </c>
      <c r="H445" s="120"/>
    </row>
    <row r="446" spans="1:8" ht="63.75">
      <c r="A446" s="12" t="s">
        <v>167</v>
      </c>
      <c r="B446" s="12"/>
      <c r="C446" s="182" t="s">
        <v>527</v>
      </c>
      <c r="D446" s="182" t="s">
        <v>508</v>
      </c>
      <c r="E446" s="182" t="s">
        <v>7</v>
      </c>
      <c r="F446" s="185" t="s">
        <v>85</v>
      </c>
      <c r="G446" s="184">
        <f>G447</f>
        <v>1004100</v>
      </c>
      <c r="H446" s="120"/>
    </row>
    <row r="447" spans="1:8" ht="51">
      <c r="A447" s="13" t="s">
        <v>561</v>
      </c>
      <c r="B447" s="13"/>
      <c r="C447" s="182" t="s">
        <v>527</v>
      </c>
      <c r="D447" s="182" t="s">
        <v>508</v>
      </c>
      <c r="E447" s="182" t="s">
        <v>568</v>
      </c>
      <c r="F447" s="185"/>
      <c r="G447" s="184">
        <f>G448</f>
        <v>1004100</v>
      </c>
      <c r="H447" s="120"/>
    </row>
    <row r="448" spans="1:8" ht="51">
      <c r="A448" s="185" t="s">
        <v>266</v>
      </c>
      <c r="B448" s="185"/>
      <c r="C448" s="182" t="s">
        <v>527</v>
      </c>
      <c r="D448" s="182" t="s">
        <v>508</v>
      </c>
      <c r="E448" s="183" t="s">
        <v>426</v>
      </c>
      <c r="F448" s="182"/>
      <c r="G448" s="184">
        <f>SUM(G449:G451)</f>
        <v>1004100</v>
      </c>
      <c r="H448" s="120"/>
    </row>
    <row r="449" spans="1:8" ht="63.75">
      <c r="A449" s="13" t="s">
        <v>698</v>
      </c>
      <c r="B449" s="13"/>
      <c r="C449" s="182" t="s">
        <v>527</v>
      </c>
      <c r="D449" s="182" t="s">
        <v>508</v>
      </c>
      <c r="E449" s="183" t="s">
        <v>426</v>
      </c>
      <c r="F449" s="182">
        <v>100</v>
      </c>
      <c r="G449" s="181">
        <v>941141.1</v>
      </c>
      <c r="H449" s="120"/>
    </row>
    <row r="450" spans="1:8" ht="25.5">
      <c r="A450" s="13" t="s">
        <v>212</v>
      </c>
      <c r="B450" s="13"/>
      <c r="C450" s="182" t="s">
        <v>527</v>
      </c>
      <c r="D450" s="182" t="s">
        <v>508</v>
      </c>
      <c r="E450" s="183" t="s">
        <v>426</v>
      </c>
      <c r="F450" s="182" t="s">
        <v>72</v>
      </c>
      <c r="G450" s="181">
        <v>62558.9</v>
      </c>
      <c r="H450" s="120"/>
    </row>
    <row r="451" spans="1:8" ht="12.75">
      <c r="A451" s="13" t="s">
        <v>75</v>
      </c>
      <c r="B451" s="13"/>
      <c r="C451" s="182" t="s">
        <v>527</v>
      </c>
      <c r="D451" s="182" t="s">
        <v>508</v>
      </c>
      <c r="E451" s="183" t="s">
        <v>426</v>
      </c>
      <c r="F451" s="182">
        <v>800</v>
      </c>
      <c r="G451" s="181">
        <v>400</v>
      </c>
      <c r="H451" s="120"/>
    </row>
    <row r="452" spans="1:7" ht="25.5">
      <c r="A452" s="161" t="s">
        <v>73</v>
      </c>
      <c r="B452" s="161"/>
      <c r="C452" s="159" t="s">
        <v>98</v>
      </c>
      <c r="D452" s="203" t="s">
        <v>436</v>
      </c>
      <c r="E452" s="159" t="s">
        <v>85</v>
      </c>
      <c r="F452" s="159" t="s">
        <v>85</v>
      </c>
      <c r="G452" s="202">
        <f aca="true" t="shared" si="1" ref="G452:G457">G453</f>
        <v>33000</v>
      </c>
    </row>
    <row r="453" spans="1:7" ht="25.5">
      <c r="A453" s="201" t="s">
        <v>74</v>
      </c>
      <c r="B453" s="201"/>
      <c r="C453" s="200" t="s">
        <v>98</v>
      </c>
      <c r="D453" s="200" t="s">
        <v>504</v>
      </c>
      <c r="E453" s="199" t="s">
        <v>85</v>
      </c>
      <c r="F453" s="199" t="s">
        <v>85</v>
      </c>
      <c r="G453" s="184">
        <f t="shared" si="1"/>
        <v>33000</v>
      </c>
    </row>
    <row r="454" spans="1:7" ht="25.5">
      <c r="A454" s="198" t="s">
        <v>166</v>
      </c>
      <c r="B454" s="198"/>
      <c r="C454" s="182" t="s">
        <v>98</v>
      </c>
      <c r="D454" s="182" t="s">
        <v>504</v>
      </c>
      <c r="E454" s="183" t="s">
        <v>656</v>
      </c>
      <c r="F454" s="196" t="s">
        <v>85</v>
      </c>
      <c r="G454" s="184">
        <f t="shared" si="1"/>
        <v>33000</v>
      </c>
    </row>
    <row r="455" spans="1:7" ht="51">
      <c r="A455" s="12" t="s">
        <v>366</v>
      </c>
      <c r="B455" s="12"/>
      <c r="C455" s="182" t="s">
        <v>98</v>
      </c>
      <c r="D455" s="182" t="s">
        <v>504</v>
      </c>
      <c r="E455" s="183" t="s">
        <v>116</v>
      </c>
      <c r="F455" s="197" t="s">
        <v>85</v>
      </c>
      <c r="G455" s="184">
        <f t="shared" si="1"/>
        <v>33000</v>
      </c>
    </row>
    <row r="456" spans="1:7" ht="51">
      <c r="A456" s="17" t="s">
        <v>115</v>
      </c>
      <c r="B456" s="17"/>
      <c r="C456" s="182" t="s">
        <v>98</v>
      </c>
      <c r="D456" s="182" t="s">
        <v>504</v>
      </c>
      <c r="E456" s="183" t="s">
        <v>117</v>
      </c>
      <c r="F456" s="197"/>
      <c r="G456" s="184">
        <f t="shared" si="1"/>
        <v>33000</v>
      </c>
    </row>
    <row r="457" spans="1:7" ht="12.75">
      <c r="A457" s="20" t="s">
        <v>118</v>
      </c>
      <c r="B457" s="20"/>
      <c r="C457" s="182" t="s">
        <v>98</v>
      </c>
      <c r="D457" s="182" t="s">
        <v>504</v>
      </c>
      <c r="E457" s="183" t="s">
        <v>119</v>
      </c>
      <c r="F457" s="196" t="s">
        <v>85</v>
      </c>
      <c r="G457" s="184">
        <f t="shared" si="1"/>
        <v>33000</v>
      </c>
    </row>
    <row r="458" spans="1:7" ht="25.5">
      <c r="A458" s="180" t="s">
        <v>467</v>
      </c>
      <c r="B458" s="180"/>
      <c r="C458" s="178" t="s">
        <v>98</v>
      </c>
      <c r="D458" s="178" t="s">
        <v>504</v>
      </c>
      <c r="E458" s="179" t="s">
        <v>119</v>
      </c>
      <c r="F458" s="178" t="s">
        <v>80</v>
      </c>
      <c r="G458" s="177">
        <f>33000</f>
        <v>33000</v>
      </c>
    </row>
    <row r="459" spans="1:7" ht="12.75">
      <c r="A459" s="195" t="s">
        <v>519</v>
      </c>
      <c r="B459" s="194" t="s">
        <v>518</v>
      </c>
      <c r="C459" s="307"/>
      <c r="D459" s="307"/>
      <c r="E459" s="308"/>
      <c r="F459" s="193"/>
      <c r="G459" s="192">
        <f>G460</f>
        <v>1170386</v>
      </c>
    </row>
    <row r="460" spans="1:7" ht="25.5">
      <c r="A460" s="191" t="s">
        <v>164</v>
      </c>
      <c r="B460" s="191"/>
      <c r="C460" s="190" t="s">
        <v>504</v>
      </c>
      <c r="D460" s="190" t="s">
        <v>508</v>
      </c>
      <c r="E460" s="189" t="s">
        <v>659</v>
      </c>
      <c r="F460" s="188" t="s">
        <v>85</v>
      </c>
      <c r="G460" s="187">
        <f>G461+G464</f>
        <v>1170386</v>
      </c>
    </row>
    <row r="461" spans="1:7" ht="25.5">
      <c r="A461" s="12" t="s">
        <v>165</v>
      </c>
      <c r="B461" s="12"/>
      <c r="C461" s="182" t="s">
        <v>504</v>
      </c>
      <c r="D461" s="182" t="s">
        <v>508</v>
      </c>
      <c r="E461" s="186" t="s">
        <v>660</v>
      </c>
      <c r="F461" s="182" t="s">
        <v>85</v>
      </c>
      <c r="G461" s="184">
        <f>G462</f>
        <v>704687</v>
      </c>
    </row>
    <row r="462" spans="1:7" ht="25.5">
      <c r="A462" s="185" t="s">
        <v>694</v>
      </c>
      <c r="B462" s="185"/>
      <c r="C462" s="182" t="s">
        <v>504</v>
      </c>
      <c r="D462" s="182" t="s">
        <v>508</v>
      </c>
      <c r="E462" s="183" t="s">
        <v>661</v>
      </c>
      <c r="F462" s="182"/>
      <c r="G462" s="184">
        <f>SUM(G463:G463)</f>
        <v>704687</v>
      </c>
    </row>
    <row r="463" spans="1:7" ht="63.75">
      <c r="A463" s="13" t="s">
        <v>698</v>
      </c>
      <c r="B463" s="13"/>
      <c r="C463" s="182" t="s">
        <v>504</v>
      </c>
      <c r="D463" s="182" t="s">
        <v>508</v>
      </c>
      <c r="E463" s="183" t="s">
        <v>661</v>
      </c>
      <c r="F463" s="182">
        <v>100</v>
      </c>
      <c r="G463" s="184">
        <v>704687</v>
      </c>
    </row>
    <row r="464" spans="1:7" ht="25.5">
      <c r="A464" s="13" t="s">
        <v>38</v>
      </c>
      <c r="B464" s="13"/>
      <c r="C464" s="182" t="s">
        <v>504</v>
      </c>
      <c r="D464" s="182" t="s">
        <v>508</v>
      </c>
      <c r="E464" s="186" t="s">
        <v>37</v>
      </c>
      <c r="F464" s="182"/>
      <c r="G464" s="184">
        <f>G465</f>
        <v>465699</v>
      </c>
    </row>
    <row r="465" spans="1:7" ht="25.5">
      <c r="A465" s="185" t="s">
        <v>694</v>
      </c>
      <c r="B465" s="185"/>
      <c r="C465" s="182" t="s">
        <v>504</v>
      </c>
      <c r="D465" s="182" t="s">
        <v>508</v>
      </c>
      <c r="E465" s="183" t="s">
        <v>36</v>
      </c>
      <c r="F465" s="182"/>
      <c r="G465" s="184">
        <f>SUM(G466:G467)</f>
        <v>465699</v>
      </c>
    </row>
    <row r="466" spans="1:7" ht="63.75">
      <c r="A466" s="13" t="s">
        <v>698</v>
      </c>
      <c r="B466" s="13"/>
      <c r="C466" s="182" t="s">
        <v>504</v>
      </c>
      <c r="D466" s="182" t="s">
        <v>508</v>
      </c>
      <c r="E466" s="183" t="s">
        <v>36</v>
      </c>
      <c r="F466" s="182">
        <v>100</v>
      </c>
      <c r="G466" s="181">
        <v>445699</v>
      </c>
    </row>
    <row r="467" spans="1:7" ht="25.5">
      <c r="A467" s="180" t="s">
        <v>212</v>
      </c>
      <c r="B467" s="180"/>
      <c r="C467" s="178" t="s">
        <v>504</v>
      </c>
      <c r="D467" s="178" t="s">
        <v>508</v>
      </c>
      <c r="E467" s="179" t="s">
        <v>36</v>
      </c>
      <c r="F467" s="178">
        <v>200</v>
      </c>
      <c r="G467" s="177">
        <v>20000</v>
      </c>
    </row>
  </sheetData>
  <sheetProtection/>
  <mergeCells count="1">
    <mergeCell ref="B3:G3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9999"/>
  </sheetPr>
  <dimension ref="A1:I381"/>
  <sheetViews>
    <sheetView showGridLines="0" zoomScaleSheetLayoutView="100" zoomScalePageLayoutView="0" workbookViewId="0" topLeftCell="A1">
      <selection activeCell="H141" sqref="H141"/>
    </sheetView>
  </sheetViews>
  <sheetFormatPr defaultColWidth="9.140625" defaultRowHeight="12.75"/>
  <cols>
    <col min="1" max="1" width="34.28125" style="92" customWidth="1"/>
    <col min="2" max="2" width="5.140625" style="92" customWidth="1"/>
    <col min="3" max="4" width="3.8515625" style="92" customWidth="1"/>
    <col min="5" max="5" width="14.7109375" style="92" customWidth="1"/>
    <col min="6" max="6" width="4.57421875" style="92" customWidth="1"/>
    <col min="7" max="7" width="14.7109375" style="494" customWidth="1"/>
    <col min="8" max="8" width="13.7109375" style="494" customWidth="1"/>
    <col min="9" max="16384" width="9.140625" style="116" customWidth="1"/>
  </cols>
  <sheetData>
    <row r="1" spans="1:8" ht="12.75">
      <c r="A1" s="90"/>
      <c r="B1" s="113"/>
      <c r="C1" s="114"/>
      <c r="D1" s="114"/>
      <c r="E1" s="114"/>
      <c r="F1" s="114"/>
      <c r="G1" s="475"/>
      <c r="H1" s="475" t="s">
        <v>542</v>
      </c>
    </row>
    <row r="2" spans="1:8" ht="12.75">
      <c r="A2" s="90"/>
      <c r="B2" s="113"/>
      <c r="C2" s="114"/>
      <c r="D2" s="114"/>
      <c r="E2" s="114"/>
      <c r="F2" s="114"/>
      <c r="G2" s="476"/>
      <c r="H2" s="476" t="s">
        <v>247</v>
      </c>
    </row>
    <row r="3" spans="1:9" ht="12.75">
      <c r="A3" s="514" t="s">
        <v>984</v>
      </c>
      <c r="B3" s="514"/>
      <c r="C3" s="514"/>
      <c r="D3" s="514"/>
      <c r="E3" s="514"/>
      <c r="F3" s="514"/>
      <c r="G3" s="514"/>
      <c r="H3" s="514"/>
      <c r="I3" s="240"/>
    </row>
    <row r="4" spans="1:8" ht="12.75">
      <c r="A4" s="93"/>
      <c r="B4" s="115"/>
      <c r="C4" s="114"/>
      <c r="D4" s="114"/>
      <c r="E4" s="114"/>
      <c r="F4" s="114"/>
      <c r="G4" s="495"/>
      <c r="H4" s="495"/>
    </row>
    <row r="5" spans="1:8" ht="12.75">
      <c r="A5" s="513" t="s">
        <v>873</v>
      </c>
      <c r="B5" s="513"/>
      <c r="C5" s="513"/>
      <c r="D5" s="513"/>
      <c r="E5" s="513"/>
      <c r="F5" s="513"/>
      <c r="G5" s="513"/>
      <c r="H5" s="513"/>
    </row>
    <row r="6" spans="1:8" ht="12.75">
      <c r="A6" s="169"/>
      <c r="B6" s="235"/>
      <c r="C6" s="235"/>
      <c r="D6" s="235"/>
      <c r="E6" s="235"/>
      <c r="F6" s="235"/>
      <c r="G6" s="478"/>
      <c r="H6" s="478" t="s">
        <v>86</v>
      </c>
    </row>
    <row r="7" spans="1:8" ht="22.5">
      <c r="A7" s="234" t="s">
        <v>82</v>
      </c>
      <c r="B7" s="233" t="s">
        <v>103</v>
      </c>
      <c r="C7" s="233" t="s">
        <v>497</v>
      </c>
      <c r="D7" s="233" t="s">
        <v>498</v>
      </c>
      <c r="E7" s="233" t="s">
        <v>499</v>
      </c>
      <c r="F7" s="233" t="s">
        <v>500</v>
      </c>
      <c r="G7" s="479" t="s">
        <v>570</v>
      </c>
      <c r="H7" s="479" t="s">
        <v>874</v>
      </c>
    </row>
    <row r="8" spans="1:8" ht="12.75">
      <c r="A8" s="166" t="s">
        <v>70</v>
      </c>
      <c r="B8" s="166"/>
      <c r="C8" s="166" t="s">
        <v>83</v>
      </c>
      <c r="D8" s="166" t="s">
        <v>71</v>
      </c>
      <c r="E8" s="166" t="s">
        <v>501</v>
      </c>
      <c r="F8" s="166" t="s">
        <v>502</v>
      </c>
      <c r="G8" s="480" t="s">
        <v>503</v>
      </c>
      <c r="H8" s="480" t="s">
        <v>503</v>
      </c>
    </row>
    <row r="9" spans="1:8" ht="12.75">
      <c r="A9" s="164" t="s">
        <v>87</v>
      </c>
      <c r="B9" s="164"/>
      <c r="C9" s="163" t="s">
        <v>85</v>
      </c>
      <c r="D9" s="163" t="s">
        <v>85</v>
      </c>
      <c r="E9" s="163" t="s">
        <v>85</v>
      </c>
      <c r="F9" s="163" t="s">
        <v>85</v>
      </c>
      <c r="G9" s="482">
        <f>G10+G289+G372+G381</f>
        <v>483356646</v>
      </c>
      <c r="H9" s="482">
        <f>H10+H289+H372+H381</f>
        <v>444041858.38</v>
      </c>
    </row>
    <row r="10" spans="1:8" ht="12.75">
      <c r="A10" s="195" t="s">
        <v>308</v>
      </c>
      <c r="B10" s="231" t="s">
        <v>547</v>
      </c>
      <c r="C10" s="119"/>
      <c r="D10" s="119"/>
      <c r="E10" s="119"/>
      <c r="F10" s="119"/>
      <c r="G10" s="496">
        <f>G11+G68+G74+G83+G126+G152+G230+G245+G251+G277</f>
        <v>406825354</v>
      </c>
      <c r="H10" s="496">
        <f>H11+H68+H74+H83+H126+H152+H230+H245+H251+H277</f>
        <v>359345249.38</v>
      </c>
    </row>
    <row r="11" spans="1:8" ht="12.75">
      <c r="A11" s="161" t="s">
        <v>566</v>
      </c>
      <c r="B11" s="161"/>
      <c r="C11" s="159" t="s">
        <v>504</v>
      </c>
      <c r="D11" s="160" t="s">
        <v>436</v>
      </c>
      <c r="E11" s="159" t="s">
        <v>85</v>
      </c>
      <c r="F11" s="159" t="s">
        <v>85</v>
      </c>
      <c r="G11" s="483">
        <f>G12+G17+G24+G29</f>
        <v>38213065</v>
      </c>
      <c r="H11" s="483">
        <f>H12+H17+H24+H29</f>
        <v>36201356</v>
      </c>
    </row>
    <row r="12" spans="1:8" ht="51">
      <c r="A12" s="201" t="s">
        <v>505</v>
      </c>
      <c r="B12" s="201"/>
      <c r="C12" s="200" t="s">
        <v>504</v>
      </c>
      <c r="D12" s="200" t="s">
        <v>506</v>
      </c>
      <c r="E12" s="200" t="s">
        <v>85</v>
      </c>
      <c r="F12" s="200" t="s">
        <v>85</v>
      </c>
      <c r="G12" s="484">
        <f aca="true" t="shared" si="0" ref="G12:H15">G13</f>
        <v>1366926</v>
      </c>
      <c r="H12" s="484">
        <f t="shared" si="0"/>
        <v>1283191</v>
      </c>
    </row>
    <row r="13" spans="1:8" ht="25.5">
      <c r="A13" s="13" t="s">
        <v>556</v>
      </c>
      <c r="B13" s="13"/>
      <c r="C13" s="182" t="s">
        <v>504</v>
      </c>
      <c r="D13" s="182" t="s">
        <v>506</v>
      </c>
      <c r="E13" s="182" t="s">
        <v>649</v>
      </c>
      <c r="F13" s="182" t="s">
        <v>85</v>
      </c>
      <c r="G13" s="484">
        <f t="shared" si="0"/>
        <v>1366926</v>
      </c>
      <c r="H13" s="484">
        <f t="shared" si="0"/>
        <v>1283191</v>
      </c>
    </row>
    <row r="14" spans="1:8" ht="12.75">
      <c r="A14" s="13" t="s">
        <v>341</v>
      </c>
      <c r="B14" s="13"/>
      <c r="C14" s="182" t="s">
        <v>504</v>
      </c>
      <c r="D14" s="182" t="s">
        <v>506</v>
      </c>
      <c r="E14" s="182" t="s">
        <v>650</v>
      </c>
      <c r="F14" s="185" t="s">
        <v>85</v>
      </c>
      <c r="G14" s="484">
        <f t="shared" si="0"/>
        <v>1366926</v>
      </c>
      <c r="H14" s="484">
        <f t="shared" si="0"/>
        <v>1283191</v>
      </c>
    </row>
    <row r="15" spans="1:8" ht="38.25">
      <c r="A15" s="185" t="s">
        <v>694</v>
      </c>
      <c r="B15" s="185"/>
      <c r="C15" s="182" t="s">
        <v>504</v>
      </c>
      <c r="D15" s="182" t="s">
        <v>506</v>
      </c>
      <c r="E15" s="182" t="s">
        <v>651</v>
      </c>
      <c r="F15" s="182" t="s">
        <v>85</v>
      </c>
      <c r="G15" s="484">
        <f t="shared" si="0"/>
        <v>1366926</v>
      </c>
      <c r="H15" s="484">
        <f t="shared" si="0"/>
        <v>1283191</v>
      </c>
    </row>
    <row r="16" spans="1:8" ht="89.25">
      <c r="A16" s="13" t="s">
        <v>698</v>
      </c>
      <c r="B16" s="13"/>
      <c r="C16" s="182" t="s">
        <v>504</v>
      </c>
      <c r="D16" s="182" t="s">
        <v>506</v>
      </c>
      <c r="E16" s="182" t="s">
        <v>651</v>
      </c>
      <c r="F16" s="182" t="s">
        <v>565</v>
      </c>
      <c r="G16" s="485">
        <v>1366926</v>
      </c>
      <c r="H16" s="485">
        <v>1283191</v>
      </c>
    </row>
    <row r="17" spans="1:8" ht="76.5">
      <c r="A17" s="201" t="s">
        <v>684</v>
      </c>
      <c r="B17" s="201"/>
      <c r="C17" s="200" t="s">
        <v>504</v>
      </c>
      <c r="D17" s="200" t="s">
        <v>507</v>
      </c>
      <c r="E17" s="200" t="s">
        <v>85</v>
      </c>
      <c r="F17" s="200" t="s">
        <v>85</v>
      </c>
      <c r="G17" s="484">
        <f aca="true" t="shared" si="1" ref="G17:H19">G18</f>
        <v>12571750</v>
      </c>
      <c r="H17" s="484">
        <f t="shared" si="1"/>
        <v>11800895</v>
      </c>
    </row>
    <row r="18" spans="1:8" ht="25.5">
      <c r="A18" s="13" t="s">
        <v>443</v>
      </c>
      <c r="B18" s="13"/>
      <c r="C18" s="182" t="s">
        <v>504</v>
      </c>
      <c r="D18" s="182" t="s">
        <v>507</v>
      </c>
      <c r="E18" s="182" t="s">
        <v>652</v>
      </c>
      <c r="F18" s="182" t="s">
        <v>85</v>
      </c>
      <c r="G18" s="484">
        <f t="shared" si="1"/>
        <v>12571750</v>
      </c>
      <c r="H18" s="484">
        <f t="shared" si="1"/>
        <v>11800895</v>
      </c>
    </row>
    <row r="19" spans="1:8" ht="25.5">
      <c r="A19" s="13" t="s">
        <v>447</v>
      </c>
      <c r="B19" s="13"/>
      <c r="C19" s="182" t="s">
        <v>504</v>
      </c>
      <c r="D19" s="182" t="s">
        <v>507</v>
      </c>
      <c r="E19" s="182" t="s">
        <v>653</v>
      </c>
      <c r="F19" s="185" t="s">
        <v>85</v>
      </c>
      <c r="G19" s="484">
        <f t="shared" si="1"/>
        <v>12571750</v>
      </c>
      <c r="H19" s="484">
        <f t="shared" si="1"/>
        <v>11800895</v>
      </c>
    </row>
    <row r="20" spans="1:8" ht="38.25">
      <c r="A20" s="185" t="s">
        <v>694</v>
      </c>
      <c r="B20" s="185"/>
      <c r="C20" s="182" t="s">
        <v>504</v>
      </c>
      <c r="D20" s="182" t="s">
        <v>507</v>
      </c>
      <c r="E20" s="182" t="s">
        <v>655</v>
      </c>
      <c r="F20" s="182" t="s">
        <v>85</v>
      </c>
      <c r="G20" s="484">
        <f>SUM(G21:G23)</f>
        <v>12571750</v>
      </c>
      <c r="H20" s="484">
        <f>SUM(H21:H23)</f>
        <v>11800895</v>
      </c>
    </row>
    <row r="21" spans="1:8" ht="89.25">
      <c r="A21" s="13" t="s">
        <v>698</v>
      </c>
      <c r="B21" s="13"/>
      <c r="C21" s="182" t="s">
        <v>504</v>
      </c>
      <c r="D21" s="182" t="s">
        <v>507</v>
      </c>
      <c r="E21" s="182" t="s">
        <v>655</v>
      </c>
      <c r="F21" s="182">
        <v>100</v>
      </c>
      <c r="G21" s="485">
        <v>11857799</v>
      </c>
      <c r="H21" s="485">
        <v>11130717</v>
      </c>
    </row>
    <row r="22" spans="1:8" ht="38.25">
      <c r="A22" s="13" t="s">
        <v>212</v>
      </c>
      <c r="B22" s="13"/>
      <c r="C22" s="182" t="s">
        <v>504</v>
      </c>
      <c r="D22" s="182" t="s">
        <v>507</v>
      </c>
      <c r="E22" s="182" t="s">
        <v>655</v>
      </c>
      <c r="F22" s="182">
        <v>200</v>
      </c>
      <c r="G22" s="485">
        <v>590765</v>
      </c>
      <c r="H22" s="485">
        <v>554545</v>
      </c>
    </row>
    <row r="23" spans="1:8" ht="12.75">
      <c r="A23" s="13" t="s">
        <v>75</v>
      </c>
      <c r="B23" s="13"/>
      <c r="C23" s="182" t="s">
        <v>504</v>
      </c>
      <c r="D23" s="182" t="s">
        <v>507</v>
      </c>
      <c r="E23" s="182" t="s">
        <v>655</v>
      </c>
      <c r="F23" s="182">
        <v>800</v>
      </c>
      <c r="G23" s="485">
        <v>123186</v>
      </c>
      <c r="H23" s="485">
        <v>115633</v>
      </c>
    </row>
    <row r="24" spans="1:8" ht="12.75">
      <c r="A24" s="201" t="s">
        <v>509</v>
      </c>
      <c r="B24" s="201"/>
      <c r="C24" s="200" t="s">
        <v>504</v>
      </c>
      <c r="D24" s="200" t="s">
        <v>510</v>
      </c>
      <c r="E24" s="200" t="s">
        <v>85</v>
      </c>
      <c r="F24" s="200" t="s">
        <v>85</v>
      </c>
      <c r="G24" s="484">
        <f aca="true" t="shared" si="2" ref="G24:H27">G25</f>
        <v>100000</v>
      </c>
      <c r="H24" s="484">
        <f t="shared" si="2"/>
        <v>93869</v>
      </c>
    </row>
    <row r="25" spans="1:8" ht="25.5">
      <c r="A25" s="13" t="s">
        <v>169</v>
      </c>
      <c r="B25" s="13"/>
      <c r="C25" s="182" t="s">
        <v>504</v>
      </c>
      <c r="D25" s="182" t="s">
        <v>510</v>
      </c>
      <c r="E25" s="182" t="s">
        <v>662</v>
      </c>
      <c r="F25" s="182" t="s">
        <v>85</v>
      </c>
      <c r="G25" s="484">
        <f t="shared" si="2"/>
        <v>100000</v>
      </c>
      <c r="H25" s="484">
        <f t="shared" si="2"/>
        <v>93869</v>
      </c>
    </row>
    <row r="26" spans="1:8" ht="12.75">
      <c r="A26" s="13" t="s">
        <v>509</v>
      </c>
      <c r="B26" s="13"/>
      <c r="C26" s="182" t="s">
        <v>504</v>
      </c>
      <c r="D26" s="182" t="s">
        <v>510</v>
      </c>
      <c r="E26" s="182" t="s">
        <v>663</v>
      </c>
      <c r="F26" s="185" t="s">
        <v>85</v>
      </c>
      <c r="G26" s="484">
        <f t="shared" si="2"/>
        <v>100000</v>
      </c>
      <c r="H26" s="484">
        <f t="shared" si="2"/>
        <v>93869</v>
      </c>
    </row>
    <row r="27" spans="1:8" ht="25.5">
      <c r="A27" s="185" t="s">
        <v>245</v>
      </c>
      <c r="B27" s="185"/>
      <c r="C27" s="182" t="s">
        <v>504</v>
      </c>
      <c r="D27" s="182" t="s">
        <v>510</v>
      </c>
      <c r="E27" s="182" t="s">
        <v>206</v>
      </c>
      <c r="F27" s="196" t="s">
        <v>85</v>
      </c>
      <c r="G27" s="484">
        <f t="shared" si="2"/>
        <v>100000</v>
      </c>
      <c r="H27" s="484">
        <f t="shared" si="2"/>
        <v>93869</v>
      </c>
    </row>
    <row r="28" spans="1:8" ht="12.75">
      <c r="A28" s="13" t="s">
        <v>75</v>
      </c>
      <c r="B28" s="13"/>
      <c r="C28" s="182" t="s">
        <v>504</v>
      </c>
      <c r="D28" s="182" t="s">
        <v>510</v>
      </c>
      <c r="E28" s="182" t="s">
        <v>206</v>
      </c>
      <c r="F28" s="182" t="s">
        <v>76</v>
      </c>
      <c r="G28" s="485">
        <v>100000</v>
      </c>
      <c r="H28" s="485">
        <v>93869</v>
      </c>
    </row>
    <row r="29" spans="1:8" ht="25.5">
      <c r="A29" s="201" t="s">
        <v>445</v>
      </c>
      <c r="B29" s="201"/>
      <c r="C29" s="200" t="s">
        <v>504</v>
      </c>
      <c r="D29" s="200" t="s">
        <v>98</v>
      </c>
      <c r="E29" s="200" t="s">
        <v>85</v>
      </c>
      <c r="F29" s="200" t="s">
        <v>85</v>
      </c>
      <c r="G29" s="484">
        <f>G30+G36+G41+G51+G55+G46</f>
        <v>24174389</v>
      </c>
      <c r="H29" s="484">
        <f>H30+H36+H41+H51+H55+H46</f>
        <v>23023401</v>
      </c>
    </row>
    <row r="30" spans="1:8" ht="89.25">
      <c r="A30" s="130" t="s">
        <v>674</v>
      </c>
      <c r="B30" s="198"/>
      <c r="C30" s="182" t="s">
        <v>504</v>
      </c>
      <c r="D30" s="182" t="s">
        <v>98</v>
      </c>
      <c r="E30" s="183" t="s">
        <v>8</v>
      </c>
      <c r="F30" s="182" t="s">
        <v>85</v>
      </c>
      <c r="G30" s="484">
        <f aca="true" t="shared" si="3" ref="G30:H32">G31</f>
        <v>662105</v>
      </c>
      <c r="H30" s="484">
        <f t="shared" si="3"/>
        <v>903118</v>
      </c>
    </row>
    <row r="31" spans="1:8" ht="51">
      <c r="A31" s="201" t="s">
        <v>450</v>
      </c>
      <c r="B31" s="201"/>
      <c r="C31" s="182" t="s">
        <v>504</v>
      </c>
      <c r="D31" s="182" t="s">
        <v>98</v>
      </c>
      <c r="E31" s="183" t="s">
        <v>9</v>
      </c>
      <c r="F31" s="196" t="s">
        <v>85</v>
      </c>
      <c r="G31" s="484">
        <f t="shared" si="3"/>
        <v>662105</v>
      </c>
      <c r="H31" s="484">
        <f t="shared" si="3"/>
        <v>903118</v>
      </c>
    </row>
    <row r="32" spans="1:8" ht="63.75">
      <c r="A32" s="29" t="s">
        <v>35</v>
      </c>
      <c r="B32" s="29"/>
      <c r="C32" s="182" t="s">
        <v>504</v>
      </c>
      <c r="D32" s="182" t="s">
        <v>98</v>
      </c>
      <c r="E32" s="183" t="s">
        <v>10</v>
      </c>
      <c r="F32" s="196"/>
      <c r="G32" s="484">
        <f t="shared" si="3"/>
        <v>662105</v>
      </c>
      <c r="H32" s="484">
        <f t="shared" si="3"/>
        <v>903118</v>
      </c>
    </row>
    <row r="33" spans="1:8" ht="25.5">
      <c r="A33" s="185" t="s">
        <v>267</v>
      </c>
      <c r="B33" s="185"/>
      <c r="C33" s="182" t="s">
        <v>504</v>
      </c>
      <c r="D33" s="182" t="s">
        <v>98</v>
      </c>
      <c r="E33" s="183" t="s">
        <v>11</v>
      </c>
      <c r="F33" s="196" t="s">
        <v>85</v>
      </c>
      <c r="G33" s="484">
        <f>SUM(G34:G35)</f>
        <v>662105</v>
      </c>
      <c r="H33" s="484">
        <f>SUM(H34:H35)</f>
        <v>903118</v>
      </c>
    </row>
    <row r="34" spans="1:8" ht="38.25">
      <c r="A34" s="13" t="s">
        <v>212</v>
      </c>
      <c r="B34" s="13"/>
      <c r="C34" s="182" t="s">
        <v>504</v>
      </c>
      <c r="D34" s="182" t="s">
        <v>98</v>
      </c>
      <c r="E34" s="183" t="s">
        <v>11</v>
      </c>
      <c r="F34" s="182" t="s">
        <v>72</v>
      </c>
      <c r="G34" s="485">
        <v>203125</v>
      </c>
      <c r="H34" s="485">
        <v>472278</v>
      </c>
    </row>
    <row r="35" spans="1:8" ht="12.75">
      <c r="A35" s="13" t="s">
        <v>75</v>
      </c>
      <c r="B35" s="13"/>
      <c r="C35" s="182" t="s">
        <v>504</v>
      </c>
      <c r="D35" s="182" t="s">
        <v>98</v>
      </c>
      <c r="E35" s="183" t="s">
        <v>11</v>
      </c>
      <c r="F35" s="182">
        <v>800</v>
      </c>
      <c r="G35" s="485">
        <v>458980</v>
      </c>
      <c r="H35" s="485">
        <v>430840</v>
      </c>
    </row>
    <row r="36" spans="1:8" ht="76.5">
      <c r="A36" s="198" t="s">
        <v>280</v>
      </c>
      <c r="B36" s="198"/>
      <c r="C36" s="182" t="s">
        <v>504</v>
      </c>
      <c r="D36" s="182" t="s">
        <v>98</v>
      </c>
      <c r="E36" s="182" t="s">
        <v>12</v>
      </c>
      <c r="F36" s="182"/>
      <c r="G36" s="484">
        <f aca="true" t="shared" si="4" ref="G36:H39">G37</f>
        <v>50000</v>
      </c>
      <c r="H36" s="484">
        <f t="shared" si="4"/>
        <v>46934</v>
      </c>
    </row>
    <row r="37" spans="1:8" ht="114.75">
      <c r="A37" s="12" t="s">
        <v>281</v>
      </c>
      <c r="B37" s="12"/>
      <c r="C37" s="182" t="s">
        <v>504</v>
      </c>
      <c r="D37" s="182" t="s">
        <v>98</v>
      </c>
      <c r="E37" s="182" t="s">
        <v>13</v>
      </c>
      <c r="F37" s="182"/>
      <c r="G37" s="484">
        <f t="shared" si="4"/>
        <v>50000</v>
      </c>
      <c r="H37" s="484">
        <f t="shared" si="4"/>
        <v>46934</v>
      </c>
    </row>
    <row r="38" spans="1:8" ht="39.75" customHeight="1">
      <c r="A38" s="53" t="s">
        <v>268</v>
      </c>
      <c r="B38" s="13"/>
      <c r="C38" s="182" t="s">
        <v>504</v>
      </c>
      <c r="D38" s="182" t="s">
        <v>98</v>
      </c>
      <c r="E38" s="51" t="s">
        <v>107</v>
      </c>
      <c r="F38" s="51"/>
      <c r="G38" s="484">
        <f t="shared" si="4"/>
        <v>50000</v>
      </c>
      <c r="H38" s="484">
        <f t="shared" si="4"/>
        <v>46934</v>
      </c>
    </row>
    <row r="39" spans="1:8" ht="48">
      <c r="A39" s="30" t="s">
        <v>255</v>
      </c>
      <c r="B39" s="13"/>
      <c r="C39" s="182" t="s">
        <v>504</v>
      </c>
      <c r="D39" s="182" t="s">
        <v>98</v>
      </c>
      <c r="E39" s="51" t="s">
        <v>269</v>
      </c>
      <c r="F39" s="51"/>
      <c r="G39" s="484">
        <f t="shared" si="4"/>
        <v>50000</v>
      </c>
      <c r="H39" s="484">
        <f t="shared" si="4"/>
        <v>46934</v>
      </c>
    </row>
    <row r="40" spans="1:8" ht="38.25">
      <c r="A40" s="53" t="s">
        <v>212</v>
      </c>
      <c r="B40" s="13"/>
      <c r="C40" s="182" t="s">
        <v>504</v>
      </c>
      <c r="D40" s="182" t="s">
        <v>98</v>
      </c>
      <c r="E40" s="51" t="s">
        <v>269</v>
      </c>
      <c r="F40" s="51">
        <v>200</v>
      </c>
      <c r="G40" s="484">
        <v>50000</v>
      </c>
      <c r="H40" s="484">
        <v>46934</v>
      </c>
    </row>
    <row r="41" spans="1:8" ht="76.5">
      <c r="A41" s="198" t="s">
        <v>676</v>
      </c>
      <c r="B41" s="198"/>
      <c r="C41" s="182" t="s">
        <v>504</v>
      </c>
      <c r="D41" s="182" t="s">
        <v>98</v>
      </c>
      <c r="E41" s="182" t="s">
        <v>108</v>
      </c>
      <c r="F41" s="182"/>
      <c r="G41" s="484">
        <f aca="true" t="shared" si="5" ref="G41:H44">G42</f>
        <v>30000</v>
      </c>
      <c r="H41" s="484">
        <f t="shared" si="5"/>
        <v>28161</v>
      </c>
    </row>
    <row r="42" spans="1:8" ht="89.25">
      <c r="A42" s="12" t="s">
        <v>677</v>
      </c>
      <c r="B42" s="12"/>
      <c r="C42" s="182" t="s">
        <v>504</v>
      </c>
      <c r="D42" s="182" t="s">
        <v>98</v>
      </c>
      <c r="E42" s="182" t="s">
        <v>109</v>
      </c>
      <c r="F42" s="182"/>
      <c r="G42" s="484">
        <f t="shared" si="5"/>
        <v>30000</v>
      </c>
      <c r="H42" s="484">
        <f t="shared" si="5"/>
        <v>28161</v>
      </c>
    </row>
    <row r="43" spans="1:8" ht="38.25">
      <c r="A43" s="13" t="s">
        <v>110</v>
      </c>
      <c r="B43" s="13"/>
      <c r="C43" s="182" t="s">
        <v>504</v>
      </c>
      <c r="D43" s="182" t="s">
        <v>98</v>
      </c>
      <c r="E43" s="182" t="s">
        <v>111</v>
      </c>
      <c r="F43" s="182"/>
      <c r="G43" s="484">
        <f t="shared" si="5"/>
        <v>30000</v>
      </c>
      <c r="H43" s="484">
        <f t="shared" si="5"/>
        <v>28161</v>
      </c>
    </row>
    <row r="44" spans="1:8" ht="51">
      <c r="A44" s="13" t="s">
        <v>113</v>
      </c>
      <c r="B44" s="13"/>
      <c r="C44" s="182" t="s">
        <v>504</v>
      </c>
      <c r="D44" s="182" t="s">
        <v>98</v>
      </c>
      <c r="E44" s="182" t="s">
        <v>112</v>
      </c>
      <c r="F44" s="182"/>
      <c r="G44" s="484">
        <f t="shared" si="5"/>
        <v>30000</v>
      </c>
      <c r="H44" s="484">
        <f t="shared" si="5"/>
        <v>28161</v>
      </c>
    </row>
    <row r="45" spans="1:8" ht="38.25">
      <c r="A45" s="13" t="s">
        <v>212</v>
      </c>
      <c r="B45" s="13"/>
      <c r="C45" s="182" t="s">
        <v>504</v>
      </c>
      <c r="D45" s="182" t="s">
        <v>98</v>
      </c>
      <c r="E45" s="182" t="s">
        <v>112</v>
      </c>
      <c r="F45" s="182">
        <v>200</v>
      </c>
      <c r="G45" s="485">
        <v>30000</v>
      </c>
      <c r="H45" s="485">
        <v>28161</v>
      </c>
    </row>
    <row r="46" spans="1:8" ht="25.5">
      <c r="A46" s="13" t="s">
        <v>443</v>
      </c>
      <c r="B46" s="13"/>
      <c r="C46" s="182" t="s">
        <v>504</v>
      </c>
      <c r="D46" s="182" t="s">
        <v>98</v>
      </c>
      <c r="E46" s="182" t="s">
        <v>652</v>
      </c>
      <c r="F46" s="182" t="s">
        <v>85</v>
      </c>
      <c r="G46" s="484">
        <f>G47</f>
        <v>334700</v>
      </c>
      <c r="H46" s="484">
        <f>H47</f>
        <v>334700</v>
      </c>
    </row>
    <row r="47" spans="1:8" ht="25.5">
      <c r="A47" s="13" t="s">
        <v>447</v>
      </c>
      <c r="B47" s="13"/>
      <c r="C47" s="182" t="s">
        <v>504</v>
      </c>
      <c r="D47" s="182" t="s">
        <v>98</v>
      </c>
      <c r="E47" s="182" t="s">
        <v>653</v>
      </c>
      <c r="F47" s="185" t="s">
        <v>85</v>
      </c>
      <c r="G47" s="484">
        <f>G48</f>
        <v>334700</v>
      </c>
      <c r="H47" s="484">
        <f>H48</f>
        <v>334700</v>
      </c>
    </row>
    <row r="48" spans="1:8" ht="63.75">
      <c r="A48" s="13" t="s">
        <v>277</v>
      </c>
      <c r="B48" s="13"/>
      <c r="C48" s="182" t="s">
        <v>504</v>
      </c>
      <c r="D48" s="182" t="s">
        <v>98</v>
      </c>
      <c r="E48" s="182" t="s">
        <v>654</v>
      </c>
      <c r="F48" s="185"/>
      <c r="G48" s="484">
        <f>SUM(G49:G50)</f>
        <v>334700</v>
      </c>
      <c r="H48" s="484">
        <f>SUM(H49:H50)</f>
        <v>334700</v>
      </c>
    </row>
    <row r="49" spans="1:8" ht="89.25">
      <c r="A49" s="13" t="s">
        <v>698</v>
      </c>
      <c r="B49" s="13"/>
      <c r="C49" s="182" t="s">
        <v>504</v>
      </c>
      <c r="D49" s="182" t="s">
        <v>98</v>
      </c>
      <c r="E49" s="182" t="s">
        <v>654</v>
      </c>
      <c r="F49" s="185">
        <v>100</v>
      </c>
      <c r="G49" s="485">
        <v>300582</v>
      </c>
      <c r="H49" s="485">
        <v>300582</v>
      </c>
    </row>
    <row r="50" spans="1:8" ht="38.25">
      <c r="A50" s="13" t="s">
        <v>212</v>
      </c>
      <c r="B50" s="13"/>
      <c r="C50" s="182" t="s">
        <v>504</v>
      </c>
      <c r="D50" s="182" t="s">
        <v>98</v>
      </c>
      <c r="E50" s="182" t="s">
        <v>654</v>
      </c>
      <c r="F50" s="185">
        <v>200</v>
      </c>
      <c r="G50" s="485">
        <v>34118</v>
      </c>
      <c r="H50" s="485">
        <v>34118</v>
      </c>
    </row>
    <row r="51" spans="1:8" ht="38.25">
      <c r="A51" s="13" t="s">
        <v>494</v>
      </c>
      <c r="B51" s="13"/>
      <c r="C51" s="182" t="s">
        <v>504</v>
      </c>
      <c r="D51" s="182" t="s">
        <v>98</v>
      </c>
      <c r="E51" s="183" t="s">
        <v>493</v>
      </c>
      <c r="F51" s="182"/>
      <c r="G51" s="484">
        <f aca="true" t="shared" si="6" ref="G51:H53">G52</f>
        <v>59900</v>
      </c>
      <c r="H51" s="484">
        <f t="shared" si="6"/>
        <v>56227</v>
      </c>
    </row>
    <row r="52" spans="1:8" ht="25.5">
      <c r="A52" s="12" t="s">
        <v>492</v>
      </c>
      <c r="B52" s="12"/>
      <c r="C52" s="182" t="s">
        <v>504</v>
      </c>
      <c r="D52" s="182" t="s">
        <v>98</v>
      </c>
      <c r="E52" s="183" t="s">
        <v>491</v>
      </c>
      <c r="F52" s="182"/>
      <c r="G52" s="484">
        <f t="shared" si="6"/>
        <v>59900</v>
      </c>
      <c r="H52" s="484">
        <f t="shared" si="6"/>
        <v>56227</v>
      </c>
    </row>
    <row r="53" spans="1:8" ht="38.25">
      <c r="A53" s="185" t="s">
        <v>34</v>
      </c>
      <c r="B53" s="185"/>
      <c r="C53" s="182" t="s">
        <v>504</v>
      </c>
      <c r="D53" s="182" t="s">
        <v>98</v>
      </c>
      <c r="E53" s="183" t="s">
        <v>679</v>
      </c>
      <c r="F53" s="182"/>
      <c r="G53" s="484">
        <f t="shared" si="6"/>
        <v>59900</v>
      </c>
      <c r="H53" s="484">
        <f t="shared" si="6"/>
        <v>56227</v>
      </c>
    </row>
    <row r="54" spans="1:8" ht="12.75">
      <c r="A54" s="13" t="s">
        <v>75</v>
      </c>
      <c r="B54" s="13"/>
      <c r="C54" s="182" t="s">
        <v>504</v>
      </c>
      <c r="D54" s="182" t="s">
        <v>98</v>
      </c>
      <c r="E54" s="183" t="s">
        <v>679</v>
      </c>
      <c r="F54" s="182">
        <v>800</v>
      </c>
      <c r="G54" s="485">
        <v>59900</v>
      </c>
      <c r="H54" s="485">
        <v>56227</v>
      </c>
    </row>
    <row r="55" spans="1:8" ht="38.25">
      <c r="A55" s="198" t="s">
        <v>593</v>
      </c>
      <c r="B55" s="198"/>
      <c r="C55" s="182" t="s">
        <v>504</v>
      </c>
      <c r="D55" s="182" t="s">
        <v>98</v>
      </c>
      <c r="E55" s="183" t="s">
        <v>14</v>
      </c>
      <c r="F55" s="196" t="s">
        <v>85</v>
      </c>
      <c r="G55" s="484">
        <f>G56</f>
        <v>23037684</v>
      </c>
      <c r="H55" s="484">
        <f>H56</f>
        <v>21654261</v>
      </c>
    </row>
    <row r="56" spans="1:8" ht="25.5">
      <c r="A56" s="12" t="s">
        <v>603</v>
      </c>
      <c r="B56" s="12"/>
      <c r="C56" s="182" t="s">
        <v>504</v>
      </c>
      <c r="D56" s="182" t="s">
        <v>98</v>
      </c>
      <c r="E56" s="186" t="s">
        <v>16</v>
      </c>
      <c r="F56" s="197" t="s">
        <v>85</v>
      </c>
      <c r="G56" s="484">
        <f>G57+G61+G63+G65</f>
        <v>23037684</v>
      </c>
      <c r="H56" s="484">
        <f>H57+H61+H63+H65</f>
        <v>21654261</v>
      </c>
    </row>
    <row r="57" spans="1:8" ht="38.25">
      <c r="A57" s="185" t="s">
        <v>468</v>
      </c>
      <c r="B57" s="185"/>
      <c r="C57" s="182" t="s">
        <v>504</v>
      </c>
      <c r="D57" s="182" t="s">
        <v>98</v>
      </c>
      <c r="E57" s="183" t="s">
        <v>17</v>
      </c>
      <c r="F57" s="196" t="s">
        <v>85</v>
      </c>
      <c r="G57" s="484">
        <f>SUM(G58:G60)</f>
        <v>22740334</v>
      </c>
      <c r="H57" s="484">
        <f>SUM(H58:H60)</f>
        <v>21346108</v>
      </c>
    </row>
    <row r="58" spans="1:8" ht="89.25">
      <c r="A58" s="13" t="s">
        <v>698</v>
      </c>
      <c r="B58" s="13"/>
      <c r="C58" s="182" t="s">
        <v>504</v>
      </c>
      <c r="D58" s="182" t="s">
        <v>98</v>
      </c>
      <c r="E58" s="183" t="s">
        <v>17</v>
      </c>
      <c r="F58" s="182" t="s">
        <v>565</v>
      </c>
      <c r="G58" s="485">
        <v>21759087</v>
      </c>
      <c r="H58" s="485">
        <v>20425022</v>
      </c>
    </row>
    <row r="59" spans="1:8" ht="38.25">
      <c r="A59" s="13" t="s">
        <v>212</v>
      </c>
      <c r="B59" s="13"/>
      <c r="C59" s="182" t="s">
        <v>504</v>
      </c>
      <c r="D59" s="182" t="s">
        <v>98</v>
      </c>
      <c r="E59" s="183" t="s">
        <v>17</v>
      </c>
      <c r="F59" s="182" t="s">
        <v>72</v>
      </c>
      <c r="G59" s="485">
        <v>934400</v>
      </c>
      <c r="H59" s="485">
        <v>877111</v>
      </c>
    </row>
    <row r="60" spans="1:8" ht="12.75">
      <c r="A60" s="13" t="s">
        <v>75</v>
      </c>
      <c r="B60" s="13"/>
      <c r="C60" s="182" t="s">
        <v>504</v>
      </c>
      <c r="D60" s="182" t="s">
        <v>98</v>
      </c>
      <c r="E60" s="183" t="s">
        <v>17</v>
      </c>
      <c r="F60" s="182" t="s">
        <v>76</v>
      </c>
      <c r="G60" s="485">
        <v>46847</v>
      </c>
      <c r="H60" s="485">
        <v>43975</v>
      </c>
    </row>
    <row r="61" spans="1:8" ht="38.25" hidden="1">
      <c r="A61" s="185" t="s">
        <v>34</v>
      </c>
      <c r="B61" s="13"/>
      <c r="C61" s="182" t="s">
        <v>504</v>
      </c>
      <c r="D61" s="182" t="s">
        <v>98</v>
      </c>
      <c r="E61" s="183" t="s">
        <v>325</v>
      </c>
      <c r="F61" s="182"/>
      <c r="G61" s="485">
        <f>G62</f>
        <v>0</v>
      </c>
      <c r="H61" s="485">
        <f>H62</f>
        <v>0</v>
      </c>
    </row>
    <row r="62" spans="1:8" ht="12.75" hidden="1">
      <c r="A62" s="13" t="s">
        <v>75</v>
      </c>
      <c r="B62" s="13"/>
      <c r="C62" s="182" t="s">
        <v>504</v>
      </c>
      <c r="D62" s="182" t="s">
        <v>98</v>
      </c>
      <c r="E62" s="183" t="s">
        <v>325</v>
      </c>
      <c r="F62" s="182">
        <v>800</v>
      </c>
      <c r="G62" s="485"/>
      <c r="H62" s="485"/>
    </row>
    <row r="63" spans="1:8" ht="38.25">
      <c r="A63" s="185" t="s">
        <v>438</v>
      </c>
      <c r="B63" s="185"/>
      <c r="C63" s="182" t="s">
        <v>504</v>
      </c>
      <c r="D63" s="182" t="s">
        <v>98</v>
      </c>
      <c r="E63" s="183" t="s">
        <v>18</v>
      </c>
      <c r="F63" s="196" t="s">
        <v>85</v>
      </c>
      <c r="G63" s="484">
        <f>G64</f>
        <v>130000</v>
      </c>
      <c r="H63" s="484">
        <f>H64</f>
        <v>140803</v>
      </c>
    </row>
    <row r="64" spans="1:8" ht="38.25">
      <c r="A64" s="13" t="s">
        <v>212</v>
      </c>
      <c r="B64" s="13"/>
      <c r="C64" s="182" t="s">
        <v>504</v>
      </c>
      <c r="D64" s="182" t="s">
        <v>98</v>
      </c>
      <c r="E64" s="183" t="s">
        <v>18</v>
      </c>
      <c r="F64" s="183">
        <v>200</v>
      </c>
      <c r="G64" s="485">
        <v>130000</v>
      </c>
      <c r="H64" s="485">
        <v>140803</v>
      </c>
    </row>
    <row r="65" spans="1:8" ht="89.25">
      <c r="A65" s="27" t="s">
        <v>730</v>
      </c>
      <c r="B65" s="27"/>
      <c r="C65" s="182" t="s">
        <v>504</v>
      </c>
      <c r="D65" s="182" t="s">
        <v>98</v>
      </c>
      <c r="E65" s="183" t="s">
        <v>44</v>
      </c>
      <c r="F65" s="183"/>
      <c r="G65" s="484">
        <f>SUM(G66:G67)</f>
        <v>167350</v>
      </c>
      <c r="H65" s="484">
        <f>SUM(H66:H67)</f>
        <v>167350</v>
      </c>
    </row>
    <row r="66" spans="1:8" ht="89.25">
      <c r="A66" s="13" t="s">
        <v>698</v>
      </c>
      <c r="B66" s="13"/>
      <c r="C66" s="182" t="s">
        <v>504</v>
      </c>
      <c r="D66" s="182" t="s">
        <v>98</v>
      </c>
      <c r="E66" s="183" t="s">
        <v>44</v>
      </c>
      <c r="F66" s="183">
        <v>100</v>
      </c>
      <c r="G66" s="485">
        <v>124992</v>
      </c>
      <c r="H66" s="485">
        <v>124992</v>
      </c>
    </row>
    <row r="67" spans="1:8" ht="38.25">
      <c r="A67" s="180" t="s">
        <v>212</v>
      </c>
      <c r="B67" s="180"/>
      <c r="C67" s="178" t="s">
        <v>504</v>
      </c>
      <c r="D67" s="178" t="s">
        <v>98</v>
      </c>
      <c r="E67" s="179" t="s">
        <v>44</v>
      </c>
      <c r="F67" s="179">
        <v>200</v>
      </c>
      <c r="G67" s="489">
        <v>42358</v>
      </c>
      <c r="H67" s="489">
        <v>42358</v>
      </c>
    </row>
    <row r="68" spans="1:8" ht="12.75">
      <c r="A68" s="161" t="s">
        <v>496</v>
      </c>
      <c r="B68" s="161"/>
      <c r="C68" s="159" t="s">
        <v>506</v>
      </c>
      <c r="D68" s="203" t="s">
        <v>436</v>
      </c>
      <c r="E68" s="159" t="s">
        <v>85</v>
      </c>
      <c r="F68" s="159" t="s">
        <v>85</v>
      </c>
      <c r="G68" s="483">
        <f aca="true" t="shared" si="7" ref="G68:H72">G69</f>
        <v>16200</v>
      </c>
      <c r="H68" s="483">
        <f t="shared" si="7"/>
        <v>15207</v>
      </c>
    </row>
    <row r="69" spans="1:8" ht="25.5">
      <c r="A69" s="201" t="s">
        <v>495</v>
      </c>
      <c r="B69" s="201"/>
      <c r="C69" s="200" t="s">
        <v>506</v>
      </c>
      <c r="D69" s="200" t="s">
        <v>507</v>
      </c>
      <c r="E69" s="199" t="s">
        <v>85</v>
      </c>
      <c r="F69" s="199" t="s">
        <v>85</v>
      </c>
      <c r="G69" s="484">
        <f t="shared" si="7"/>
        <v>16200</v>
      </c>
      <c r="H69" s="484">
        <f t="shared" si="7"/>
        <v>15207</v>
      </c>
    </row>
    <row r="70" spans="1:8" ht="38.25">
      <c r="A70" s="13" t="s">
        <v>494</v>
      </c>
      <c r="B70" s="13"/>
      <c r="C70" s="182" t="s">
        <v>506</v>
      </c>
      <c r="D70" s="182" t="s">
        <v>507</v>
      </c>
      <c r="E70" s="183" t="s">
        <v>493</v>
      </c>
      <c r="F70" s="196" t="s">
        <v>85</v>
      </c>
      <c r="G70" s="484">
        <f t="shared" si="7"/>
        <v>16200</v>
      </c>
      <c r="H70" s="484">
        <f t="shared" si="7"/>
        <v>15207</v>
      </c>
    </row>
    <row r="71" spans="1:8" ht="25.5">
      <c r="A71" s="13" t="s">
        <v>492</v>
      </c>
      <c r="B71" s="13"/>
      <c r="C71" s="182" t="s">
        <v>506</v>
      </c>
      <c r="D71" s="182" t="s">
        <v>507</v>
      </c>
      <c r="E71" s="183" t="s">
        <v>491</v>
      </c>
      <c r="F71" s="196"/>
      <c r="G71" s="484">
        <f t="shared" si="7"/>
        <v>16200</v>
      </c>
      <c r="H71" s="484">
        <f t="shared" si="7"/>
        <v>15207</v>
      </c>
    </row>
    <row r="72" spans="1:8" ht="38.25">
      <c r="A72" s="33" t="s">
        <v>490</v>
      </c>
      <c r="B72" s="33"/>
      <c r="C72" s="182" t="s">
        <v>506</v>
      </c>
      <c r="D72" s="182" t="s">
        <v>507</v>
      </c>
      <c r="E72" s="183" t="s">
        <v>489</v>
      </c>
      <c r="F72" s="197" t="s">
        <v>85</v>
      </c>
      <c r="G72" s="484">
        <f t="shared" si="7"/>
        <v>16200</v>
      </c>
      <c r="H72" s="484">
        <f t="shared" si="7"/>
        <v>15207</v>
      </c>
    </row>
    <row r="73" spans="1:8" ht="38.25">
      <c r="A73" s="180" t="s">
        <v>89</v>
      </c>
      <c r="B73" s="180"/>
      <c r="C73" s="178" t="s">
        <v>506</v>
      </c>
      <c r="D73" s="178" t="s">
        <v>507</v>
      </c>
      <c r="E73" s="179" t="s">
        <v>489</v>
      </c>
      <c r="F73" s="178">
        <v>200</v>
      </c>
      <c r="G73" s="489">
        <v>16200</v>
      </c>
      <c r="H73" s="489">
        <v>15207</v>
      </c>
    </row>
    <row r="74" spans="1:8" ht="38.25">
      <c r="A74" s="161" t="s">
        <v>446</v>
      </c>
      <c r="B74" s="161"/>
      <c r="C74" s="159" t="s">
        <v>99</v>
      </c>
      <c r="D74" s="203" t="s">
        <v>436</v>
      </c>
      <c r="E74" s="159" t="s">
        <v>85</v>
      </c>
      <c r="F74" s="159" t="s">
        <v>85</v>
      </c>
      <c r="G74" s="483">
        <f aca="true" t="shared" si="8" ref="G74:H78">G75</f>
        <v>2707710</v>
      </c>
      <c r="H74" s="483">
        <f t="shared" si="8"/>
        <v>2541699</v>
      </c>
    </row>
    <row r="75" spans="1:8" ht="51">
      <c r="A75" s="201" t="s">
        <v>455</v>
      </c>
      <c r="B75" s="201"/>
      <c r="C75" s="200" t="s">
        <v>99</v>
      </c>
      <c r="D75" s="200">
        <v>10</v>
      </c>
      <c r="E75" s="200" t="s">
        <v>85</v>
      </c>
      <c r="F75" s="200" t="s">
        <v>85</v>
      </c>
      <c r="G75" s="484">
        <f t="shared" si="8"/>
        <v>2707710</v>
      </c>
      <c r="H75" s="484">
        <f t="shared" si="8"/>
        <v>2541699</v>
      </c>
    </row>
    <row r="76" spans="1:8" ht="76.5">
      <c r="A76" s="198" t="s">
        <v>456</v>
      </c>
      <c r="B76" s="198"/>
      <c r="C76" s="182" t="s">
        <v>99</v>
      </c>
      <c r="D76" s="182">
        <v>10</v>
      </c>
      <c r="E76" s="183" t="s">
        <v>19</v>
      </c>
      <c r="F76" s="182" t="s">
        <v>85</v>
      </c>
      <c r="G76" s="484">
        <f t="shared" si="8"/>
        <v>2707710</v>
      </c>
      <c r="H76" s="484">
        <f t="shared" si="8"/>
        <v>2541699</v>
      </c>
    </row>
    <row r="77" spans="1:8" ht="127.5">
      <c r="A77" s="12" t="s">
        <v>278</v>
      </c>
      <c r="B77" s="12"/>
      <c r="C77" s="182" t="s">
        <v>99</v>
      </c>
      <c r="D77" s="182">
        <v>10</v>
      </c>
      <c r="E77" s="183" t="s">
        <v>845</v>
      </c>
      <c r="F77" s="182"/>
      <c r="G77" s="484">
        <f t="shared" si="8"/>
        <v>2707710</v>
      </c>
      <c r="H77" s="484">
        <f t="shared" si="8"/>
        <v>2541699</v>
      </c>
    </row>
    <row r="78" spans="1:8" ht="102">
      <c r="A78" s="28" t="s">
        <v>243</v>
      </c>
      <c r="B78" s="28"/>
      <c r="C78" s="182" t="s">
        <v>99</v>
      </c>
      <c r="D78" s="182">
        <v>10</v>
      </c>
      <c r="E78" s="183" t="s">
        <v>881</v>
      </c>
      <c r="F78" s="182"/>
      <c r="G78" s="484">
        <f t="shared" si="8"/>
        <v>2707710</v>
      </c>
      <c r="H78" s="484">
        <f t="shared" si="8"/>
        <v>2541699</v>
      </c>
    </row>
    <row r="79" spans="1:8" ht="38.25">
      <c r="A79" s="185" t="s">
        <v>468</v>
      </c>
      <c r="B79" s="185"/>
      <c r="C79" s="182" t="s">
        <v>99</v>
      </c>
      <c r="D79" s="182">
        <v>10</v>
      </c>
      <c r="E79" s="183" t="s">
        <v>876</v>
      </c>
      <c r="F79" s="182" t="s">
        <v>85</v>
      </c>
      <c r="G79" s="484">
        <f>SUM(G80:G82)</f>
        <v>2707710</v>
      </c>
      <c r="H79" s="484">
        <f>SUM(H80:H82)</f>
        <v>2541699</v>
      </c>
    </row>
    <row r="80" spans="1:8" ht="89.25">
      <c r="A80" s="13" t="s">
        <v>698</v>
      </c>
      <c r="B80" s="13"/>
      <c r="C80" s="182" t="s">
        <v>99</v>
      </c>
      <c r="D80" s="182">
        <v>10</v>
      </c>
      <c r="E80" s="183" t="s">
        <v>876</v>
      </c>
      <c r="F80" s="182" t="s">
        <v>565</v>
      </c>
      <c r="G80" s="485">
        <v>2562144</v>
      </c>
      <c r="H80" s="485">
        <v>2405057</v>
      </c>
    </row>
    <row r="81" spans="1:8" ht="38.25">
      <c r="A81" s="13" t="s">
        <v>212</v>
      </c>
      <c r="B81" s="13"/>
      <c r="C81" s="182" t="s">
        <v>99</v>
      </c>
      <c r="D81" s="182">
        <v>10</v>
      </c>
      <c r="E81" s="183" t="s">
        <v>876</v>
      </c>
      <c r="F81" s="182" t="s">
        <v>72</v>
      </c>
      <c r="G81" s="485">
        <v>144366</v>
      </c>
      <c r="H81" s="485">
        <v>135515</v>
      </c>
    </row>
    <row r="82" spans="1:8" ht="12.75">
      <c r="A82" s="180" t="s">
        <v>75</v>
      </c>
      <c r="B82" s="180"/>
      <c r="C82" s="178" t="s">
        <v>99</v>
      </c>
      <c r="D82" s="178">
        <v>10</v>
      </c>
      <c r="E82" s="183" t="s">
        <v>876</v>
      </c>
      <c r="F82" s="178" t="s">
        <v>76</v>
      </c>
      <c r="G82" s="489">
        <v>1200</v>
      </c>
      <c r="H82" s="489">
        <v>1127</v>
      </c>
    </row>
    <row r="83" spans="1:8" ht="12.75">
      <c r="A83" s="161" t="s">
        <v>686</v>
      </c>
      <c r="B83" s="161"/>
      <c r="C83" s="159" t="s">
        <v>507</v>
      </c>
      <c r="D83" s="203" t="s">
        <v>436</v>
      </c>
      <c r="E83" s="159" t="s">
        <v>85</v>
      </c>
      <c r="F83" s="159" t="s">
        <v>85</v>
      </c>
      <c r="G83" s="483">
        <f>G84+G97+G113+G90</f>
        <v>5645950.8</v>
      </c>
      <c r="H83" s="483">
        <f>H84+H97+H113+H90</f>
        <v>34024176.54</v>
      </c>
    </row>
    <row r="84" spans="1:8" ht="12.75">
      <c r="A84" s="201" t="s">
        <v>687</v>
      </c>
      <c r="B84" s="201"/>
      <c r="C84" s="200" t="s">
        <v>507</v>
      </c>
      <c r="D84" s="200" t="s">
        <v>504</v>
      </c>
      <c r="E84" s="200" t="s">
        <v>85</v>
      </c>
      <c r="F84" s="200" t="s">
        <v>85</v>
      </c>
      <c r="G84" s="484">
        <f aca="true" t="shared" si="9" ref="G84:H88">G85</f>
        <v>93421</v>
      </c>
      <c r="H84" s="484">
        <f t="shared" si="9"/>
        <v>87694</v>
      </c>
    </row>
    <row r="85" spans="1:8" ht="51">
      <c r="A85" s="198" t="s">
        <v>665</v>
      </c>
      <c r="B85" s="198"/>
      <c r="C85" s="182" t="s">
        <v>507</v>
      </c>
      <c r="D85" s="182" t="s">
        <v>504</v>
      </c>
      <c r="E85" s="183" t="s">
        <v>21</v>
      </c>
      <c r="F85" s="182" t="s">
        <v>85</v>
      </c>
      <c r="G85" s="484">
        <f t="shared" si="9"/>
        <v>93421</v>
      </c>
      <c r="H85" s="484">
        <f t="shared" si="9"/>
        <v>87694</v>
      </c>
    </row>
    <row r="86" spans="1:8" ht="76.5">
      <c r="A86" s="12" t="s">
        <v>557</v>
      </c>
      <c r="B86" s="12"/>
      <c r="C86" s="182" t="s">
        <v>507</v>
      </c>
      <c r="D86" s="182" t="s">
        <v>504</v>
      </c>
      <c r="E86" s="183" t="s">
        <v>22</v>
      </c>
      <c r="F86" s="182"/>
      <c r="G86" s="484">
        <f t="shared" si="9"/>
        <v>93421</v>
      </c>
      <c r="H86" s="484">
        <f t="shared" si="9"/>
        <v>87694</v>
      </c>
    </row>
    <row r="87" spans="1:8" ht="63.75">
      <c r="A87" s="29" t="s">
        <v>488</v>
      </c>
      <c r="B87" s="29"/>
      <c r="C87" s="182" t="s">
        <v>507</v>
      </c>
      <c r="D87" s="182" t="s">
        <v>504</v>
      </c>
      <c r="E87" s="183" t="s">
        <v>23</v>
      </c>
      <c r="F87" s="182"/>
      <c r="G87" s="484">
        <f t="shared" si="9"/>
        <v>93421</v>
      </c>
      <c r="H87" s="484">
        <f t="shared" si="9"/>
        <v>87694</v>
      </c>
    </row>
    <row r="88" spans="1:8" ht="25.5">
      <c r="A88" s="13" t="s">
        <v>664</v>
      </c>
      <c r="B88" s="13"/>
      <c r="C88" s="182" t="s">
        <v>507</v>
      </c>
      <c r="D88" s="182" t="s">
        <v>504</v>
      </c>
      <c r="E88" s="183" t="s">
        <v>24</v>
      </c>
      <c r="F88" s="182"/>
      <c r="G88" s="484">
        <f t="shared" si="9"/>
        <v>93421</v>
      </c>
      <c r="H88" s="484">
        <f t="shared" si="9"/>
        <v>87694</v>
      </c>
    </row>
    <row r="89" spans="1:8" ht="51">
      <c r="A89" s="13" t="s">
        <v>88</v>
      </c>
      <c r="B89" s="13"/>
      <c r="C89" s="182" t="s">
        <v>507</v>
      </c>
      <c r="D89" s="182" t="s">
        <v>504</v>
      </c>
      <c r="E89" s="183" t="s">
        <v>24</v>
      </c>
      <c r="F89" s="182">
        <v>600</v>
      </c>
      <c r="G89" s="485">
        <v>93421</v>
      </c>
      <c r="H89" s="485">
        <v>87694</v>
      </c>
    </row>
    <row r="90" spans="1:8" ht="12.75">
      <c r="A90" s="132" t="s">
        <v>848</v>
      </c>
      <c r="B90" s="13"/>
      <c r="C90" s="131" t="s">
        <v>507</v>
      </c>
      <c r="D90" s="131" t="s">
        <v>526</v>
      </c>
      <c r="E90" s="131"/>
      <c r="F90" s="131"/>
      <c r="G90" s="486">
        <f aca="true" t="shared" si="10" ref="G90:H94">G91</f>
        <v>1534576.8</v>
      </c>
      <c r="H90" s="486">
        <f t="shared" si="10"/>
        <v>0</v>
      </c>
    </row>
    <row r="91" spans="1:8" ht="89.25">
      <c r="A91" s="130" t="s">
        <v>452</v>
      </c>
      <c r="B91" s="13"/>
      <c r="C91" s="127" t="s">
        <v>507</v>
      </c>
      <c r="D91" s="127" t="s">
        <v>526</v>
      </c>
      <c r="E91" s="128" t="s">
        <v>852</v>
      </c>
      <c r="F91" s="127"/>
      <c r="G91" s="486">
        <f t="shared" si="10"/>
        <v>1534576.8</v>
      </c>
      <c r="H91" s="486">
        <f t="shared" si="10"/>
        <v>0</v>
      </c>
    </row>
    <row r="92" spans="1:8" ht="38.25">
      <c r="A92" s="70" t="s">
        <v>849</v>
      </c>
      <c r="B92" s="13"/>
      <c r="C92" s="127" t="s">
        <v>507</v>
      </c>
      <c r="D92" s="127" t="s">
        <v>526</v>
      </c>
      <c r="E92" s="128" t="s">
        <v>853</v>
      </c>
      <c r="F92" s="127"/>
      <c r="G92" s="486">
        <f t="shared" si="10"/>
        <v>1534576.8</v>
      </c>
      <c r="H92" s="486">
        <f t="shared" si="10"/>
        <v>0</v>
      </c>
    </row>
    <row r="93" spans="1:8" ht="54.75" customHeight="1">
      <c r="A93" s="139" t="s">
        <v>850</v>
      </c>
      <c r="B93" s="13"/>
      <c r="C93" s="127" t="s">
        <v>507</v>
      </c>
      <c r="D93" s="127" t="s">
        <v>526</v>
      </c>
      <c r="E93" s="128" t="s">
        <v>854</v>
      </c>
      <c r="F93" s="127"/>
      <c r="G93" s="487">
        <f t="shared" si="10"/>
        <v>1534576.8</v>
      </c>
      <c r="H93" s="487">
        <f t="shared" si="10"/>
        <v>0</v>
      </c>
    </row>
    <row r="94" spans="1:8" ht="25.5">
      <c r="A94" s="139" t="s">
        <v>851</v>
      </c>
      <c r="B94" s="13"/>
      <c r="C94" s="127" t="s">
        <v>507</v>
      </c>
      <c r="D94" s="127" t="s">
        <v>526</v>
      </c>
      <c r="E94" s="128" t="s">
        <v>855</v>
      </c>
      <c r="F94" s="127"/>
      <c r="G94" s="487">
        <f t="shared" si="10"/>
        <v>1534576.8</v>
      </c>
      <c r="H94" s="487">
        <f t="shared" si="10"/>
        <v>0</v>
      </c>
    </row>
    <row r="95" spans="1:8" ht="38.25">
      <c r="A95" s="139" t="s">
        <v>212</v>
      </c>
      <c r="B95" s="13"/>
      <c r="C95" s="127" t="s">
        <v>507</v>
      </c>
      <c r="D95" s="127" t="s">
        <v>526</v>
      </c>
      <c r="E95" s="128" t="s">
        <v>855</v>
      </c>
      <c r="F95" s="127" t="s">
        <v>72</v>
      </c>
      <c r="G95" s="487">
        <v>1534576.8</v>
      </c>
      <c r="H95" s="487"/>
    </row>
    <row r="96" spans="1:8" ht="12.75" hidden="1">
      <c r="A96" s="13"/>
      <c r="B96" s="13"/>
      <c r="C96" s="182"/>
      <c r="D96" s="182"/>
      <c r="E96" s="183"/>
      <c r="F96" s="182"/>
      <c r="G96" s="485"/>
      <c r="H96" s="485"/>
    </row>
    <row r="97" spans="1:8" ht="25.5">
      <c r="A97" s="201" t="s">
        <v>84</v>
      </c>
      <c r="B97" s="201"/>
      <c r="C97" s="200" t="s">
        <v>507</v>
      </c>
      <c r="D97" s="200" t="s">
        <v>100</v>
      </c>
      <c r="E97" s="199" t="s">
        <v>85</v>
      </c>
      <c r="F97" s="199" t="s">
        <v>85</v>
      </c>
      <c r="G97" s="484">
        <f>G98</f>
        <v>2927430</v>
      </c>
      <c r="H97" s="484">
        <f>H98</f>
        <v>33729970.54</v>
      </c>
    </row>
    <row r="98" spans="1:8" ht="89.25">
      <c r="A98" s="198" t="s">
        <v>452</v>
      </c>
      <c r="B98" s="198"/>
      <c r="C98" s="182" t="s">
        <v>507</v>
      </c>
      <c r="D98" s="182" t="s">
        <v>100</v>
      </c>
      <c r="E98" s="183" t="s">
        <v>29</v>
      </c>
      <c r="F98" s="196" t="s">
        <v>85</v>
      </c>
      <c r="G98" s="484">
        <f>G99+G109</f>
        <v>2927430</v>
      </c>
      <c r="H98" s="484">
        <f>H99+H109</f>
        <v>33729970.54</v>
      </c>
    </row>
    <row r="99" spans="1:8" ht="114.75">
      <c r="A99" s="12" t="s">
        <v>45</v>
      </c>
      <c r="B99" s="12"/>
      <c r="C99" s="182" t="s">
        <v>507</v>
      </c>
      <c r="D99" s="182" t="s">
        <v>100</v>
      </c>
      <c r="E99" s="186" t="s">
        <v>217</v>
      </c>
      <c r="F99" s="197" t="s">
        <v>85</v>
      </c>
      <c r="G99" s="484">
        <f>G100+G103+G106</f>
        <v>2727158</v>
      </c>
      <c r="H99" s="484">
        <f>H100+H103+H106</f>
        <v>33729970.54</v>
      </c>
    </row>
    <row r="100" spans="1:8" ht="38.25">
      <c r="A100" s="29" t="s">
        <v>216</v>
      </c>
      <c r="B100" s="29"/>
      <c r="C100" s="182" t="s">
        <v>507</v>
      </c>
      <c r="D100" s="182" t="s">
        <v>100</v>
      </c>
      <c r="E100" s="183" t="s">
        <v>215</v>
      </c>
      <c r="F100" s="197"/>
      <c r="G100" s="484">
        <f>G101</f>
        <v>299728</v>
      </c>
      <c r="H100" s="484">
        <f>H101</f>
        <v>0</v>
      </c>
    </row>
    <row r="101" spans="1:8" ht="51">
      <c r="A101" s="33" t="s">
        <v>31</v>
      </c>
      <c r="B101" s="33"/>
      <c r="C101" s="182" t="s">
        <v>507</v>
      </c>
      <c r="D101" s="182" t="s">
        <v>100</v>
      </c>
      <c r="E101" s="183" t="s">
        <v>214</v>
      </c>
      <c r="F101" s="197"/>
      <c r="G101" s="484">
        <f>G102</f>
        <v>299728</v>
      </c>
      <c r="H101" s="484">
        <f>H102</f>
        <v>0</v>
      </c>
    </row>
    <row r="102" spans="1:8" ht="12.75">
      <c r="A102" s="13" t="s">
        <v>75</v>
      </c>
      <c r="B102" s="13"/>
      <c r="C102" s="182" t="s">
        <v>507</v>
      </c>
      <c r="D102" s="182" t="s">
        <v>100</v>
      </c>
      <c r="E102" s="183" t="s">
        <v>214</v>
      </c>
      <c r="F102" s="185">
        <v>800</v>
      </c>
      <c r="G102" s="485">
        <v>299728</v>
      </c>
      <c r="H102" s="485">
        <v>0</v>
      </c>
    </row>
    <row r="103" spans="1:8" ht="51">
      <c r="A103" s="29" t="s">
        <v>213</v>
      </c>
      <c r="B103" s="29"/>
      <c r="C103" s="182" t="s">
        <v>507</v>
      </c>
      <c r="D103" s="182" t="s">
        <v>100</v>
      </c>
      <c r="E103" s="183" t="s">
        <v>234</v>
      </c>
      <c r="F103" s="197"/>
      <c r="G103" s="484">
        <f>G104</f>
        <v>2427430</v>
      </c>
      <c r="H103" s="484">
        <f>H104</f>
        <v>33729970.54</v>
      </c>
    </row>
    <row r="104" spans="1:8" ht="63.75">
      <c r="A104" s="49" t="s">
        <v>595</v>
      </c>
      <c r="B104" s="49"/>
      <c r="C104" s="182" t="s">
        <v>507</v>
      </c>
      <c r="D104" s="182" t="s">
        <v>100</v>
      </c>
      <c r="E104" s="47" t="s">
        <v>594</v>
      </c>
      <c r="F104" s="182" t="s">
        <v>85</v>
      </c>
      <c r="G104" s="484">
        <f>G105</f>
        <v>2427430</v>
      </c>
      <c r="H104" s="484">
        <f>H105</f>
        <v>33729970.54</v>
      </c>
    </row>
    <row r="105" spans="1:8" ht="38.25">
      <c r="A105" s="13" t="s">
        <v>212</v>
      </c>
      <c r="B105" s="13"/>
      <c r="C105" s="182" t="s">
        <v>507</v>
      </c>
      <c r="D105" s="182" t="s">
        <v>100</v>
      </c>
      <c r="E105" s="47" t="s">
        <v>594</v>
      </c>
      <c r="F105" s="182">
        <v>200</v>
      </c>
      <c r="G105" s="485">
        <v>2427430</v>
      </c>
      <c r="H105" s="487">
        <f>26654878.16+7075092.38</f>
        <v>33729970.54</v>
      </c>
    </row>
    <row r="106" spans="1:8" ht="63.75" hidden="1">
      <c r="A106" s="13" t="s">
        <v>63</v>
      </c>
      <c r="B106" s="13"/>
      <c r="C106" s="182" t="s">
        <v>507</v>
      </c>
      <c r="D106" s="182" t="s">
        <v>100</v>
      </c>
      <c r="E106" s="183" t="s">
        <v>64</v>
      </c>
      <c r="F106" s="182"/>
      <c r="G106" s="484">
        <f>G107</f>
        <v>0</v>
      </c>
      <c r="H106" s="484">
        <f>H107</f>
        <v>0</v>
      </c>
    </row>
    <row r="107" spans="1:8" ht="36" hidden="1">
      <c r="A107" s="30" t="s">
        <v>707</v>
      </c>
      <c r="B107" s="30"/>
      <c r="C107" s="182" t="s">
        <v>507</v>
      </c>
      <c r="D107" s="182" t="s">
        <v>100</v>
      </c>
      <c r="E107" s="183" t="s">
        <v>708</v>
      </c>
      <c r="F107" s="182"/>
      <c r="G107" s="484">
        <f>G108</f>
        <v>0</v>
      </c>
      <c r="H107" s="484">
        <f>H108</f>
        <v>0</v>
      </c>
    </row>
    <row r="108" spans="1:8" ht="38.25" hidden="1">
      <c r="A108" s="13" t="s">
        <v>205</v>
      </c>
      <c r="B108" s="13"/>
      <c r="C108" s="182" t="s">
        <v>507</v>
      </c>
      <c r="D108" s="182" t="s">
        <v>100</v>
      </c>
      <c r="E108" s="183" t="s">
        <v>708</v>
      </c>
      <c r="F108" s="182">
        <v>400</v>
      </c>
      <c r="G108" s="485"/>
      <c r="H108" s="485"/>
    </row>
    <row r="109" spans="1:8" ht="114.75">
      <c r="A109" s="12" t="s">
        <v>244</v>
      </c>
      <c r="B109" s="12"/>
      <c r="C109" s="182" t="s">
        <v>507</v>
      </c>
      <c r="D109" s="182" t="s">
        <v>100</v>
      </c>
      <c r="E109" s="186" t="s">
        <v>30</v>
      </c>
      <c r="F109" s="182"/>
      <c r="G109" s="484">
        <f aca="true" t="shared" si="11" ref="G109:H111">G110</f>
        <v>200272</v>
      </c>
      <c r="H109" s="484">
        <f t="shared" si="11"/>
        <v>0</v>
      </c>
    </row>
    <row r="110" spans="1:8" ht="102">
      <c r="A110" s="29" t="s">
        <v>97</v>
      </c>
      <c r="B110" s="29"/>
      <c r="C110" s="182" t="s">
        <v>507</v>
      </c>
      <c r="D110" s="182" t="s">
        <v>100</v>
      </c>
      <c r="E110" s="183" t="s">
        <v>423</v>
      </c>
      <c r="F110" s="182"/>
      <c r="G110" s="484">
        <f t="shared" si="11"/>
        <v>200272</v>
      </c>
      <c r="H110" s="484">
        <f t="shared" si="11"/>
        <v>0</v>
      </c>
    </row>
    <row r="111" spans="1:8" ht="63.75">
      <c r="A111" s="33" t="s">
        <v>596</v>
      </c>
      <c r="B111" s="33"/>
      <c r="C111" s="182" t="s">
        <v>507</v>
      </c>
      <c r="D111" s="182" t="s">
        <v>100</v>
      </c>
      <c r="E111" s="183" t="s">
        <v>331</v>
      </c>
      <c r="F111" s="182"/>
      <c r="G111" s="484">
        <f t="shared" si="11"/>
        <v>200272</v>
      </c>
      <c r="H111" s="484">
        <f t="shared" si="11"/>
        <v>0</v>
      </c>
    </row>
    <row r="112" spans="1:8" ht="12.75">
      <c r="A112" s="13" t="s">
        <v>75</v>
      </c>
      <c r="B112" s="13"/>
      <c r="C112" s="182" t="s">
        <v>507</v>
      </c>
      <c r="D112" s="182" t="s">
        <v>100</v>
      </c>
      <c r="E112" s="183" t="s">
        <v>331</v>
      </c>
      <c r="F112" s="182">
        <v>800</v>
      </c>
      <c r="G112" s="485">
        <v>200272</v>
      </c>
      <c r="H112" s="485">
        <v>0</v>
      </c>
    </row>
    <row r="113" spans="1:8" ht="25.5">
      <c r="A113" s="12" t="s">
        <v>524</v>
      </c>
      <c r="B113" s="12"/>
      <c r="C113" s="200" t="s">
        <v>507</v>
      </c>
      <c r="D113" s="200">
        <v>12</v>
      </c>
      <c r="E113" s="186"/>
      <c r="F113" s="200"/>
      <c r="G113" s="484">
        <f>G114+G118</f>
        <v>1090523</v>
      </c>
      <c r="H113" s="484">
        <f>H114+H118</f>
        <v>206512</v>
      </c>
    </row>
    <row r="114" spans="1:8" ht="63.75">
      <c r="A114" s="198" t="s">
        <v>46</v>
      </c>
      <c r="B114" s="198"/>
      <c r="C114" s="182" t="s">
        <v>507</v>
      </c>
      <c r="D114" s="182">
        <v>12</v>
      </c>
      <c r="E114" s="183" t="s">
        <v>597</v>
      </c>
      <c r="F114" s="182"/>
      <c r="G114" s="484">
        <f aca="true" t="shared" si="12" ref="G114:H116">G115</f>
        <v>55000</v>
      </c>
      <c r="H114" s="484">
        <f t="shared" si="12"/>
        <v>18774</v>
      </c>
    </row>
    <row r="115" spans="1:8" ht="36">
      <c r="A115" s="30" t="s">
        <v>600</v>
      </c>
      <c r="B115" s="30"/>
      <c r="C115" s="182" t="s">
        <v>507</v>
      </c>
      <c r="D115" s="182">
        <v>12</v>
      </c>
      <c r="E115" s="183" t="s">
        <v>599</v>
      </c>
      <c r="F115" s="182"/>
      <c r="G115" s="484">
        <f t="shared" si="12"/>
        <v>55000</v>
      </c>
      <c r="H115" s="484">
        <f t="shared" si="12"/>
        <v>18774</v>
      </c>
    </row>
    <row r="116" spans="1:8" ht="48">
      <c r="A116" s="30" t="s">
        <v>598</v>
      </c>
      <c r="B116" s="30"/>
      <c r="C116" s="182" t="s">
        <v>507</v>
      </c>
      <c r="D116" s="182">
        <v>12</v>
      </c>
      <c r="E116" s="183" t="s">
        <v>96</v>
      </c>
      <c r="F116" s="182"/>
      <c r="G116" s="484">
        <f t="shared" si="12"/>
        <v>55000</v>
      </c>
      <c r="H116" s="484">
        <f t="shared" si="12"/>
        <v>18774</v>
      </c>
    </row>
    <row r="117" spans="1:8" ht="12.75">
      <c r="A117" s="180" t="s">
        <v>75</v>
      </c>
      <c r="B117" s="180"/>
      <c r="C117" s="178" t="s">
        <v>507</v>
      </c>
      <c r="D117" s="178">
        <v>12</v>
      </c>
      <c r="E117" s="179" t="s">
        <v>96</v>
      </c>
      <c r="F117" s="178">
        <v>200</v>
      </c>
      <c r="G117" s="489">
        <f>20000+35000</f>
        <v>55000</v>
      </c>
      <c r="H117" s="489">
        <v>18774</v>
      </c>
    </row>
    <row r="118" spans="1:8" ht="38.25">
      <c r="A118" s="74" t="s">
        <v>593</v>
      </c>
      <c r="B118" s="30"/>
      <c r="C118" s="71" t="s">
        <v>507</v>
      </c>
      <c r="D118" s="71">
        <v>12</v>
      </c>
      <c r="E118" s="100" t="s">
        <v>14</v>
      </c>
      <c r="F118" s="71"/>
      <c r="G118" s="490">
        <f>G120+G122+G124</f>
        <v>1035523</v>
      </c>
      <c r="H118" s="490">
        <f>H120+H122+H124</f>
        <v>187738</v>
      </c>
    </row>
    <row r="119" spans="1:8" ht="24">
      <c r="A119" s="30" t="s">
        <v>603</v>
      </c>
      <c r="B119" s="30"/>
      <c r="C119" s="182" t="s">
        <v>507</v>
      </c>
      <c r="D119" s="182">
        <v>12</v>
      </c>
      <c r="E119" s="183" t="s">
        <v>16</v>
      </c>
      <c r="F119" s="182"/>
      <c r="G119" s="484">
        <f>G120</f>
        <v>65000</v>
      </c>
      <c r="H119" s="484">
        <f>H120</f>
        <v>187738</v>
      </c>
    </row>
    <row r="120" spans="1:8" ht="48">
      <c r="A120" s="30" t="s">
        <v>94</v>
      </c>
      <c r="B120" s="30"/>
      <c r="C120" s="182" t="s">
        <v>507</v>
      </c>
      <c r="D120" s="182">
        <v>12</v>
      </c>
      <c r="E120" s="183" t="s">
        <v>95</v>
      </c>
      <c r="F120" s="182"/>
      <c r="G120" s="484">
        <f>G121</f>
        <v>65000</v>
      </c>
      <c r="H120" s="484">
        <f>H121</f>
        <v>187738</v>
      </c>
    </row>
    <row r="121" spans="1:8" ht="36">
      <c r="A121" s="30" t="s">
        <v>212</v>
      </c>
      <c r="B121" s="30"/>
      <c r="C121" s="182" t="s">
        <v>507</v>
      </c>
      <c r="D121" s="182">
        <v>12</v>
      </c>
      <c r="E121" s="183" t="s">
        <v>95</v>
      </c>
      <c r="F121" s="182">
        <v>200</v>
      </c>
      <c r="G121" s="484">
        <f>200000-100000-35000</f>
        <v>65000</v>
      </c>
      <c r="H121" s="484">
        <v>187738</v>
      </c>
    </row>
    <row r="122" spans="1:8" ht="51">
      <c r="A122" s="383" t="s">
        <v>858</v>
      </c>
      <c r="B122" s="323"/>
      <c r="C122" s="127" t="s">
        <v>507</v>
      </c>
      <c r="D122" s="127">
        <v>12</v>
      </c>
      <c r="E122" s="183" t="s">
        <v>859</v>
      </c>
      <c r="F122" s="182"/>
      <c r="G122" s="484">
        <f>G123</f>
        <v>291157</v>
      </c>
      <c r="H122" s="484">
        <f>H123</f>
        <v>0</v>
      </c>
    </row>
    <row r="123" spans="1:8" ht="36">
      <c r="A123" s="323" t="s">
        <v>212</v>
      </c>
      <c r="B123" s="323"/>
      <c r="C123" s="127" t="s">
        <v>507</v>
      </c>
      <c r="D123" s="127">
        <v>12</v>
      </c>
      <c r="E123" s="183" t="s">
        <v>859</v>
      </c>
      <c r="F123" s="182">
        <v>200</v>
      </c>
      <c r="G123" s="484">
        <v>291157</v>
      </c>
      <c r="H123" s="484"/>
    </row>
    <row r="124" spans="1:8" ht="51">
      <c r="A124" s="383" t="s">
        <v>858</v>
      </c>
      <c r="B124" s="323"/>
      <c r="C124" s="127" t="s">
        <v>507</v>
      </c>
      <c r="D124" s="127">
        <v>12</v>
      </c>
      <c r="E124" s="183" t="s">
        <v>860</v>
      </c>
      <c r="F124" s="182"/>
      <c r="G124" s="484">
        <f>G125</f>
        <v>679366</v>
      </c>
      <c r="H124" s="484">
        <f>H125</f>
        <v>0</v>
      </c>
    </row>
    <row r="125" spans="1:8" ht="36">
      <c r="A125" s="323" t="s">
        <v>212</v>
      </c>
      <c r="B125" s="323"/>
      <c r="C125" s="127" t="s">
        <v>507</v>
      </c>
      <c r="D125" s="127">
        <v>12</v>
      </c>
      <c r="E125" s="353" t="s">
        <v>860</v>
      </c>
      <c r="F125" s="119">
        <v>200</v>
      </c>
      <c r="G125" s="485">
        <v>679366</v>
      </c>
      <c r="H125" s="490"/>
    </row>
    <row r="126" spans="1:8" ht="25.5">
      <c r="A126" s="161" t="s">
        <v>512</v>
      </c>
      <c r="B126" s="161"/>
      <c r="C126" s="159" t="s">
        <v>620</v>
      </c>
      <c r="D126" s="203" t="s">
        <v>436</v>
      </c>
      <c r="E126" s="159" t="s">
        <v>85</v>
      </c>
      <c r="F126" s="159" t="s">
        <v>85</v>
      </c>
      <c r="G126" s="483">
        <f>G127+G141</f>
        <v>11778119.2</v>
      </c>
      <c r="H126" s="483">
        <f>H127+H141</f>
        <v>10074167.84</v>
      </c>
    </row>
    <row r="127" spans="1:8" ht="12.75">
      <c r="A127" s="201" t="s">
        <v>219</v>
      </c>
      <c r="B127" s="201"/>
      <c r="C127" s="200" t="s">
        <v>620</v>
      </c>
      <c r="D127" s="220" t="s">
        <v>504</v>
      </c>
      <c r="E127" s="219"/>
      <c r="F127" s="219"/>
      <c r="G127" s="484">
        <f>G128</f>
        <v>684000</v>
      </c>
      <c r="H127" s="484">
        <f>H128</f>
        <v>288308</v>
      </c>
    </row>
    <row r="128" spans="1:8" ht="89.25">
      <c r="A128" s="198" t="s">
        <v>453</v>
      </c>
      <c r="B128" s="198"/>
      <c r="C128" s="182" t="s">
        <v>620</v>
      </c>
      <c r="D128" s="210" t="s">
        <v>504</v>
      </c>
      <c r="E128" s="183" t="s">
        <v>32</v>
      </c>
      <c r="F128" s="219"/>
      <c r="G128" s="484">
        <f>G129+G137</f>
        <v>684000</v>
      </c>
      <c r="H128" s="484">
        <f>H129+H137</f>
        <v>288308</v>
      </c>
    </row>
    <row r="129" spans="1:8" ht="132" customHeight="1" hidden="1">
      <c r="A129" s="12" t="s">
        <v>199</v>
      </c>
      <c r="B129" s="12"/>
      <c r="C129" s="182" t="s">
        <v>620</v>
      </c>
      <c r="D129" s="210" t="s">
        <v>504</v>
      </c>
      <c r="E129" s="183" t="s">
        <v>200</v>
      </c>
      <c r="F129" s="219"/>
      <c r="G129" s="484">
        <f>G130</f>
        <v>0</v>
      </c>
      <c r="H129" s="484">
        <f>H130</f>
        <v>0</v>
      </c>
    </row>
    <row r="130" spans="1:8" ht="51" hidden="1">
      <c r="A130" s="297" t="s">
        <v>712</v>
      </c>
      <c r="B130" s="297"/>
      <c r="C130" s="182" t="s">
        <v>620</v>
      </c>
      <c r="D130" s="210" t="s">
        <v>504</v>
      </c>
      <c r="E130" s="183" t="s">
        <v>62</v>
      </c>
      <c r="F130" s="219"/>
      <c r="G130" s="484">
        <f>G131+G133+G135</f>
        <v>0</v>
      </c>
      <c r="H130" s="484">
        <f>H135</f>
        <v>0</v>
      </c>
    </row>
    <row r="131" spans="1:8" ht="63.75" hidden="1">
      <c r="A131" s="297" t="s">
        <v>90</v>
      </c>
      <c r="B131" s="297"/>
      <c r="C131" s="182" t="s">
        <v>620</v>
      </c>
      <c r="D131" s="210" t="s">
        <v>504</v>
      </c>
      <c r="E131" s="183" t="s">
        <v>668</v>
      </c>
      <c r="F131" s="219"/>
      <c r="G131" s="484">
        <f>G132</f>
        <v>0</v>
      </c>
      <c r="H131" s="484"/>
    </row>
    <row r="132" spans="1:8" ht="38.25" hidden="1">
      <c r="A132" s="13" t="s">
        <v>205</v>
      </c>
      <c r="B132" s="297"/>
      <c r="C132" s="182" t="s">
        <v>620</v>
      </c>
      <c r="D132" s="210" t="s">
        <v>504</v>
      </c>
      <c r="E132" s="183" t="s">
        <v>668</v>
      </c>
      <c r="F132" s="182">
        <v>400</v>
      </c>
      <c r="G132" s="484"/>
      <c r="H132" s="484"/>
    </row>
    <row r="133" spans="1:8" ht="51" hidden="1">
      <c r="A133" s="297" t="s">
        <v>91</v>
      </c>
      <c r="B133" s="297"/>
      <c r="C133" s="182" t="s">
        <v>620</v>
      </c>
      <c r="D133" s="210" t="s">
        <v>504</v>
      </c>
      <c r="E133" s="183" t="s">
        <v>669</v>
      </c>
      <c r="F133" s="219"/>
      <c r="G133" s="484">
        <f>G134</f>
        <v>0</v>
      </c>
      <c r="H133" s="484"/>
    </row>
    <row r="134" spans="1:8" ht="38.25" hidden="1">
      <c r="A134" s="13" t="s">
        <v>205</v>
      </c>
      <c r="B134" s="297"/>
      <c r="C134" s="182" t="s">
        <v>620</v>
      </c>
      <c r="D134" s="210" t="s">
        <v>504</v>
      </c>
      <c r="E134" s="183" t="s">
        <v>669</v>
      </c>
      <c r="F134" s="182">
        <v>400</v>
      </c>
      <c r="G134" s="484"/>
      <c r="H134" s="484"/>
    </row>
    <row r="135" spans="1:8" ht="114.75" hidden="1">
      <c r="A135" s="298" t="s">
        <v>65</v>
      </c>
      <c r="B135" s="297"/>
      <c r="C135" s="182" t="s">
        <v>620</v>
      </c>
      <c r="D135" s="210" t="s">
        <v>504</v>
      </c>
      <c r="E135" s="183" t="s">
        <v>276</v>
      </c>
      <c r="F135" s="219"/>
      <c r="G135" s="484">
        <f>G136</f>
        <v>0</v>
      </c>
      <c r="H135" s="484">
        <f>H136</f>
        <v>0</v>
      </c>
    </row>
    <row r="136" spans="1:8" ht="38.25" hidden="1">
      <c r="A136" s="13" t="s">
        <v>205</v>
      </c>
      <c r="B136" s="13"/>
      <c r="C136" s="182" t="s">
        <v>620</v>
      </c>
      <c r="D136" s="210" t="s">
        <v>504</v>
      </c>
      <c r="E136" s="183" t="s">
        <v>276</v>
      </c>
      <c r="F136" s="182">
        <v>400</v>
      </c>
      <c r="G136" s="485"/>
      <c r="H136" s="485"/>
    </row>
    <row r="137" spans="1:8" ht="114.75">
      <c r="A137" s="12" t="s">
        <v>454</v>
      </c>
      <c r="B137" s="12"/>
      <c r="C137" s="182" t="s">
        <v>620</v>
      </c>
      <c r="D137" s="210" t="s">
        <v>504</v>
      </c>
      <c r="E137" s="186" t="s">
        <v>529</v>
      </c>
      <c r="F137" s="219"/>
      <c r="G137" s="484">
        <f>G138</f>
        <v>684000</v>
      </c>
      <c r="H137" s="484">
        <f>H138</f>
        <v>288308</v>
      </c>
    </row>
    <row r="138" spans="1:8" ht="38.25">
      <c r="A138" s="28" t="s">
        <v>218</v>
      </c>
      <c r="B138" s="28"/>
      <c r="C138" s="182" t="s">
        <v>620</v>
      </c>
      <c r="D138" s="210" t="s">
        <v>504</v>
      </c>
      <c r="E138" s="183" t="s">
        <v>251</v>
      </c>
      <c r="F138" s="219"/>
      <c r="G138" s="484">
        <f>G139</f>
        <v>684000</v>
      </c>
      <c r="H138" s="484">
        <f>H139</f>
        <v>288308</v>
      </c>
    </row>
    <row r="139" spans="1:8" ht="36">
      <c r="A139" s="30" t="s">
        <v>250</v>
      </c>
      <c r="B139" s="30"/>
      <c r="C139" s="182" t="s">
        <v>620</v>
      </c>
      <c r="D139" s="210" t="s">
        <v>504</v>
      </c>
      <c r="E139" s="183" t="s">
        <v>249</v>
      </c>
      <c r="F139" s="219"/>
      <c r="G139" s="484">
        <f>SUM(G140:G140)</f>
        <v>684000</v>
      </c>
      <c r="H139" s="484">
        <f>SUM(H140:H140)</f>
        <v>288308</v>
      </c>
    </row>
    <row r="140" spans="1:8" ht="38.25">
      <c r="A140" s="13" t="s">
        <v>212</v>
      </c>
      <c r="B140" s="13"/>
      <c r="C140" s="182" t="s">
        <v>620</v>
      </c>
      <c r="D140" s="210" t="s">
        <v>504</v>
      </c>
      <c r="E140" s="183" t="s">
        <v>249</v>
      </c>
      <c r="F140" s="182">
        <v>200</v>
      </c>
      <c r="G140" s="485">
        <v>684000</v>
      </c>
      <c r="H140" s="485">
        <f>642063-353755</f>
        <v>288308</v>
      </c>
    </row>
    <row r="141" spans="1:8" ht="12.75">
      <c r="A141" s="201" t="s">
        <v>533</v>
      </c>
      <c r="B141" s="201"/>
      <c r="C141" s="200" t="s">
        <v>620</v>
      </c>
      <c r="D141" s="200" t="s">
        <v>99</v>
      </c>
      <c r="E141" s="200" t="s">
        <v>85</v>
      </c>
      <c r="F141" s="200" t="s">
        <v>85</v>
      </c>
      <c r="G141" s="484">
        <f>G142+G148</f>
        <v>11094119.2</v>
      </c>
      <c r="H141" s="484">
        <f>H142+H148</f>
        <v>9785859.84</v>
      </c>
    </row>
    <row r="142" spans="1:8" ht="89.25">
      <c r="A142" s="198" t="s">
        <v>453</v>
      </c>
      <c r="B142" s="198"/>
      <c r="C142" s="182" t="s">
        <v>620</v>
      </c>
      <c r="D142" s="182" t="s">
        <v>99</v>
      </c>
      <c r="E142" s="183" t="s">
        <v>32</v>
      </c>
      <c r="F142" s="182" t="s">
        <v>85</v>
      </c>
      <c r="G142" s="484">
        <f aca="true" t="shared" si="13" ref="G142:H144">G143</f>
        <v>5565232.2</v>
      </c>
      <c r="H142" s="484">
        <f t="shared" si="13"/>
        <v>3701671.84</v>
      </c>
    </row>
    <row r="143" spans="1:8" ht="114.75">
      <c r="A143" s="12" t="s">
        <v>454</v>
      </c>
      <c r="B143" s="12"/>
      <c r="C143" s="182" t="s">
        <v>620</v>
      </c>
      <c r="D143" s="182" t="s">
        <v>99</v>
      </c>
      <c r="E143" s="186" t="s">
        <v>529</v>
      </c>
      <c r="F143" s="185" t="s">
        <v>85</v>
      </c>
      <c r="G143" s="484">
        <f t="shared" si="13"/>
        <v>5565232.2</v>
      </c>
      <c r="H143" s="484">
        <f t="shared" si="13"/>
        <v>3701671.84</v>
      </c>
    </row>
    <row r="144" spans="1:8" ht="38.25">
      <c r="A144" s="28" t="s">
        <v>337</v>
      </c>
      <c r="B144" s="28"/>
      <c r="C144" s="182" t="s">
        <v>620</v>
      </c>
      <c r="D144" s="182" t="s">
        <v>99</v>
      </c>
      <c r="E144" s="183" t="s">
        <v>428</v>
      </c>
      <c r="F144" s="185"/>
      <c r="G144" s="484">
        <f t="shared" si="13"/>
        <v>5565232.2</v>
      </c>
      <c r="H144" s="484">
        <f t="shared" si="13"/>
        <v>3701671.84</v>
      </c>
    </row>
    <row r="145" spans="1:8" ht="12.75">
      <c r="A145" s="33" t="s">
        <v>695</v>
      </c>
      <c r="B145" s="33"/>
      <c r="C145" s="182" t="s">
        <v>620</v>
      </c>
      <c r="D145" s="182" t="s">
        <v>99</v>
      </c>
      <c r="E145" s="183" t="s">
        <v>429</v>
      </c>
      <c r="F145" s="182" t="s">
        <v>85</v>
      </c>
      <c r="G145" s="484">
        <f>SUM(G146:G147)</f>
        <v>5565232.2</v>
      </c>
      <c r="H145" s="484">
        <f>SUM(H146:H147)</f>
        <v>3701671.84</v>
      </c>
    </row>
    <row r="146" spans="1:8" ht="38.25">
      <c r="A146" s="13" t="s">
        <v>212</v>
      </c>
      <c r="B146" s="13"/>
      <c r="C146" s="182" t="s">
        <v>620</v>
      </c>
      <c r="D146" s="182" t="s">
        <v>99</v>
      </c>
      <c r="E146" s="183" t="s">
        <v>429</v>
      </c>
      <c r="F146" s="182">
        <v>200</v>
      </c>
      <c r="G146" s="485">
        <v>2467763</v>
      </c>
      <c r="H146" s="485">
        <v>2316462</v>
      </c>
    </row>
    <row r="147" spans="1:8" ht="12.75">
      <c r="A147" s="13" t="s">
        <v>75</v>
      </c>
      <c r="B147" s="13"/>
      <c r="C147" s="182" t="s">
        <v>620</v>
      </c>
      <c r="D147" s="182" t="s">
        <v>99</v>
      </c>
      <c r="E147" s="183" t="s">
        <v>429</v>
      </c>
      <c r="F147" s="182">
        <v>800</v>
      </c>
      <c r="G147" s="487">
        <f>4632046-1534576.8</f>
        <v>3097469.2</v>
      </c>
      <c r="H147" s="485">
        <v>1385209.84</v>
      </c>
    </row>
    <row r="148" spans="1:8" ht="63.75">
      <c r="A148" s="198" t="s">
        <v>449</v>
      </c>
      <c r="B148" s="198"/>
      <c r="C148" s="182" t="s">
        <v>620</v>
      </c>
      <c r="D148" s="182" t="s">
        <v>99</v>
      </c>
      <c r="E148" s="183" t="s">
        <v>605</v>
      </c>
      <c r="F148" s="182"/>
      <c r="G148" s="484">
        <f aca="true" t="shared" si="14" ref="G148:H150">G149</f>
        <v>5528887</v>
      </c>
      <c r="H148" s="484">
        <f t="shared" si="14"/>
        <v>6084188</v>
      </c>
    </row>
    <row r="149" spans="1:8" ht="28.5" customHeight="1">
      <c r="A149" s="28" t="s">
        <v>672</v>
      </c>
      <c r="B149" s="28"/>
      <c r="C149" s="182" t="s">
        <v>620</v>
      </c>
      <c r="D149" s="182" t="s">
        <v>99</v>
      </c>
      <c r="E149" s="183" t="s">
        <v>320</v>
      </c>
      <c r="F149" s="182"/>
      <c r="G149" s="484">
        <f t="shared" si="14"/>
        <v>5528887</v>
      </c>
      <c r="H149" s="484">
        <f t="shared" si="14"/>
        <v>6084188</v>
      </c>
    </row>
    <row r="150" spans="1:8" ht="25.5">
      <c r="A150" s="299" t="s">
        <v>322</v>
      </c>
      <c r="B150" s="299"/>
      <c r="C150" s="182" t="s">
        <v>620</v>
      </c>
      <c r="D150" s="182" t="s">
        <v>99</v>
      </c>
      <c r="E150" s="183" t="s">
        <v>321</v>
      </c>
      <c r="F150" s="182"/>
      <c r="G150" s="484">
        <f t="shared" si="14"/>
        <v>5528887</v>
      </c>
      <c r="H150" s="484">
        <f t="shared" si="14"/>
        <v>6084188</v>
      </c>
    </row>
    <row r="151" spans="1:8" ht="38.25">
      <c r="A151" s="180" t="s">
        <v>212</v>
      </c>
      <c r="B151" s="180"/>
      <c r="C151" s="178" t="s">
        <v>620</v>
      </c>
      <c r="D151" s="178" t="s">
        <v>99</v>
      </c>
      <c r="E151" s="179" t="s">
        <v>321</v>
      </c>
      <c r="F151" s="178">
        <v>200</v>
      </c>
      <c r="G151" s="489">
        <f>500000+5028887</f>
        <v>5528887</v>
      </c>
      <c r="H151" s="489">
        <f>500000+5584188</f>
        <v>6084188</v>
      </c>
    </row>
    <row r="152" spans="1:8" ht="12.75">
      <c r="A152" s="161" t="s">
        <v>534</v>
      </c>
      <c r="B152" s="161"/>
      <c r="C152" s="159" t="s">
        <v>621</v>
      </c>
      <c r="D152" s="203" t="s">
        <v>436</v>
      </c>
      <c r="E152" s="159" t="s">
        <v>85</v>
      </c>
      <c r="F152" s="159" t="s">
        <v>85</v>
      </c>
      <c r="G152" s="483">
        <f>G153+G164+G200+G206+G219</f>
        <v>309080370</v>
      </c>
      <c r="H152" s="483">
        <f>H153+H164+H200+H206+H219</f>
        <v>240964126</v>
      </c>
    </row>
    <row r="153" spans="1:8" ht="12.75">
      <c r="A153" s="201" t="s">
        <v>535</v>
      </c>
      <c r="B153" s="201"/>
      <c r="C153" s="200" t="s">
        <v>621</v>
      </c>
      <c r="D153" s="200" t="s">
        <v>504</v>
      </c>
      <c r="E153" s="200" t="s">
        <v>85</v>
      </c>
      <c r="F153" s="200" t="s">
        <v>85</v>
      </c>
      <c r="G153" s="484">
        <f aca="true" t="shared" si="15" ref="G153:H155">G154</f>
        <v>92601566</v>
      </c>
      <c r="H153" s="484">
        <f t="shared" si="15"/>
        <v>90778726</v>
      </c>
    </row>
    <row r="154" spans="1:8" ht="51">
      <c r="A154" s="198" t="s">
        <v>261</v>
      </c>
      <c r="B154" s="198"/>
      <c r="C154" s="182" t="s">
        <v>621</v>
      </c>
      <c r="D154" s="182" t="s">
        <v>504</v>
      </c>
      <c r="E154" s="183" t="s">
        <v>530</v>
      </c>
      <c r="F154" s="182" t="s">
        <v>85</v>
      </c>
      <c r="G154" s="484">
        <f t="shared" si="15"/>
        <v>92601566</v>
      </c>
      <c r="H154" s="484">
        <f t="shared" si="15"/>
        <v>90778726</v>
      </c>
    </row>
    <row r="155" spans="1:8" ht="63.75">
      <c r="A155" s="12" t="s">
        <v>262</v>
      </c>
      <c r="B155" s="12"/>
      <c r="C155" s="182" t="s">
        <v>621</v>
      </c>
      <c r="D155" s="182" t="s">
        <v>504</v>
      </c>
      <c r="E155" s="186" t="s">
        <v>531</v>
      </c>
      <c r="F155" s="185" t="s">
        <v>85</v>
      </c>
      <c r="G155" s="484">
        <f t="shared" si="15"/>
        <v>92601566</v>
      </c>
      <c r="H155" s="484">
        <f t="shared" si="15"/>
        <v>90778726</v>
      </c>
    </row>
    <row r="156" spans="1:8" ht="38.25">
      <c r="A156" s="28" t="s">
        <v>430</v>
      </c>
      <c r="B156" s="28"/>
      <c r="C156" s="182" t="s">
        <v>621</v>
      </c>
      <c r="D156" s="182" t="s">
        <v>504</v>
      </c>
      <c r="E156" s="183" t="s">
        <v>532</v>
      </c>
      <c r="F156" s="185"/>
      <c r="G156" s="484">
        <f>G157+G160</f>
        <v>92601566</v>
      </c>
      <c r="H156" s="484">
        <f>H157+H160</f>
        <v>90778726</v>
      </c>
    </row>
    <row r="157" spans="1:8" ht="153">
      <c r="A157" s="13" t="s">
        <v>282</v>
      </c>
      <c r="B157" s="13"/>
      <c r="C157" s="182" t="s">
        <v>621</v>
      </c>
      <c r="D157" s="182" t="s">
        <v>504</v>
      </c>
      <c r="E157" s="183" t="s">
        <v>283</v>
      </c>
      <c r="F157" s="182" t="s">
        <v>85</v>
      </c>
      <c r="G157" s="484">
        <f>SUM(G158:G159)</f>
        <v>55488082</v>
      </c>
      <c r="H157" s="484">
        <f>SUM(H158:H159)</f>
        <v>55488082</v>
      </c>
    </row>
    <row r="158" spans="1:8" ht="89.25">
      <c r="A158" s="13" t="s">
        <v>698</v>
      </c>
      <c r="B158" s="13"/>
      <c r="C158" s="182" t="s">
        <v>621</v>
      </c>
      <c r="D158" s="182" t="s">
        <v>504</v>
      </c>
      <c r="E158" s="183" t="s">
        <v>283</v>
      </c>
      <c r="F158" s="182" t="s">
        <v>565</v>
      </c>
      <c r="G158" s="485">
        <v>55063202</v>
      </c>
      <c r="H158" s="485">
        <v>55063202</v>
      </c>
    </row>
    <row r="159" spans="1:8" ht="38.25">
      <c r="A159" s="13" t="s">
        <v>212</v>
      </c>
      <c r="B159" s="13"/>
      <c r="C159" s="182" t="s">
        <v>621</v>
      </c>
      <c r="D159" s="182" t="s">
        <v>504</v>
      </c>
      <c r="E159" s="183" t="s">
        <v>283</v>
      </c>
      <c r="F159" s="182" t="s">
        <v>72</v>
      </c>
      <c r="G159" s="485">
        <v>424880</v>
      </c>
      <c r="H159" s="485">
        <v>424880</v>
      </c>
    </row>
    <row r="160" spans="1:8" ht="38.25">
      <c r="A160" s="185" t="s">
        <v>468</v>
      </c>
      <c r="B160" s="185"/>
      <c r="C160" s="182" t="s">
        <v>621</v>
      </c>
      <c r="D160" s="182" t="s">
        <v>504</v>
      </c>
      <c r="E160" s="183" t="s">
        <v>284</v>
      </c>
      <c r="F160" s="182"/>
      <c r="G160" s="484">
        <f>SUM(G161:G163)</f>
        <v>37113484</v>
      </c>
      <c r="H160" s="484">
        <f>SUM(H161:H163)</f>
        <v>35290644</v>
      </c>
    </row>
    <row r="161" spans="1:8" ht="89.25">
      <c r="A161" s="13" t="s">
        <v>698</v>
      </c>
      <c r="B161" s="13"/>
      <c r="C161" s="182" t="s">
        <v>621</v>
      </c>
      <c r="D161" s="182" t="s">
        <v>504</v>
      </c>
      <c r="E161" s="183" t="s">
        <v>284</v>
      </c>
      <c r="F161" s="182">
        <v>100</v>
      </c>
      <c r="G161" s="485">
        <v>18466929</v>
      </c>
      <c r="H161" s="485">
        <v>17334708</v>
      </c>
    </row>
    <row r="162" spans="1:8" ht="38.25">
      <c r="A162" s="13" t="s">
        <v>212</v>
      </c>
      <c r="B162" s="13"/>
      <c r="C162" s="182" t="s">
        <v>621</v>
      </c>
      <c r="D162" s="182" t="s">
        <v>504</v>
      </c>
      <c r="E162" s="183" t="s">
        <v>284</v>
      </c>
      <c r="F162" s="182">
        <v>200</v>
      </c>
      <c r="G162" s="485">
        <v>16366724</v>
      </c>
      <c r="H162" s="485">
        <v>15815883</v>
      </c>
    </row>
    <row r="163" spans="1:8" ht="12.75">
      <c r="A163" s="13" t="s">
        <v>75</v>
      </c>
      <c r="B163" s="13"/>
      <c r="C163" s="182" t="s">
        <v>621</v>
      </c>
      <c r="D163" s="182" t="s">
        <v>504</v>
      </c>
      <c r="E163" s="183" t="s">
        <v>284</v>
      </c>
      <c r="F163" s="182">
        <v>800</v>
      </c>
      <c r="G163" s="485">
        <v>2279831</v>
      </c>
      <c r="H163" s="485">
        <v>2140053</v>
      </c>
    </row>
    <row r="164" spans="1:8" ht="12.75">
      <c r="A164" s="201" t="s">
        <v>536</v>
      </c>
      <c r="B164" s="201"/>
      <c r="C164" s="200" t="s">
        <v>621</v>
      </c>
      <c r="D164" s="200" t="s">
        <v>506</v>
      </c>
      <c r="E164" s="200" t="s">
        <v>85</v>
      </c>
      <c r="F164" s="200" t="s">
        <v>85</v>
      </c>
      <c r="G164" s="484">
        <f>G165</f>
        <v>190125107</v>
      </c>
      <c r="H164" s="484">
        <f>H165</f>
        <v>124100230</v>
      </c>
    </row>
    <row r="165" spans="1:8" ht="51">
      <c r="A165" s="198" t="s">
        <v>263</v>
      </c>
      <c r="B165" s="198"/>
      <c r="C165" s="182" t="s">
        <v>621</v>
      </c>
      <c r="D165" s="182" t="s">
        <v>506</v>
      </c>
      <c r="E165" s="183" t="s">
        <v>530</v>
      </c>
      <c r="F165" s="182" t="s">
        <v>85</v>
      </c>
      <c r="G165" s="484">
        <f>G166</f>
        <v>190125107</v>
      </c>
      <c r="H165" s="484">
        <f>H166</f>
        <v>124100230</v>
      </c>
    </row>
    <row r="166" spans="1:8" ht="63.75">
      <c r="A166" s="12" t="s">
        <v>262</v>
      </c>
      <c r="B166" s="12"/>
      <c r="C166" s="182" t="s">
        <v>621</v>
      </c>
      <c r="D166" s="182" t="s">
        <v>506</v>
      </c>
      <c r="E166" s="183" t="s">
        <v>531</v>
      </c>
      <c r="F166" s="185" t="s">
        <v>85</v>
      </c>
      <c r="G166" s="484">
        <f>G167+G174+G193+G195+G198+G185</f>
        <v>190125107</v>
      </c>
      <c r="H166" s="484">
        <f>H167+H174+H193+H195+H198+H185</f>
        <v>124100230</v>
      </c>
    </row>
    <row r="167" spans="1:8" ht="38.25">
      <c r="A167" s="28" t="s">
        <v>432</v>
      </c>
      <c r="B167" s="28"/>
      <c r="C167" s="182" t="s">
        <v>621</v>
      </c>
      <c r="D167" s="182" t="s">
        <v>506</v>
      </c>
      <c r="E167" s="183" t="s">
        <v>285</v>
      </c>
      <c r="F167" s="185"/>
      <c r="G167" s="484">
        <f>G168+G172+G170</f>
        <v>115240939</v>
      </c>
      <c r="H167" s="484">
        <f>H168+H172+H170</f>
        <v>114416531</v>
      </c>
    </row>
    <row r="168" spans="1:8" ht="168" customHeight="1">
      <c r="A168" s="13" t="s">
        <v>648</v>
      </c>
      <c r="B168" s="13"/>
      <c r="C168" s="182" t="s">
        <v>621</v>
      </c>
      <c r="D168" s="182" t="s">
        <v>506</v>
      </c>
      <c r="E168" s="183" t="s">
        <v>286</v>
      </c>
      <c r="F168" s="182" t="s">
        <v>85</v>
      </c>
      <c r="G168" s="484">
        <f>G169</f>
        <v>96274514</v>
      </c>
      <c r="H168" s="484">
        <f>H169</f>
        <v>96274514</v>
      </c>
    </row>
    <row r="169" spans="1:8" ht="51">
      <c r="A169" s="13" t="s">
        <v>88</v>
      </c>
      <c r="B169" s="13"/>
      <c r="C169" s="182" t="s">
        <v>621</v>
      </c>
      <c r="D169" s="182" t="s">
        <v>506</v>
      </c>
      <c r="E169" s="183" t="s">
        <v>286</v>
      </c>
      <c r="F169" s="182">
        <v>600</v>
      </c>
      <c r="G169" s="485">
        <v>96274514</v>
      </c>
      <c r="H169" s="485">
        <v>96274514</v>
      </c>
    </row>
    <row r="170" spans="1:8" ht="63.75">
      <c r="A170" s="13" t="s">
        <v>483</v>
      </c>
      <c r="B170" s="13"/>
      <c r="C170" s="182" t="s">
        <v>621</v>
      </c>
      <c r="D170" s="182" t="s">
        <v>506</v>
      </c>
      <c r="E170" s="183" t="s">
        <v>906</v>
      </c>
      <c r="F170" s="182"/>
      <c r="G170" s="485">
        <f>G171</f>
        <v>6498637</v>
      </c>
      <c r="H170" s="485">
        <f>H171</f>
        <v>6438638</v>
      </c>
    </row>
    <row r="171" spans="1:8" ht="51">
      <c r="A171" s="13" t="s">
        <v>88</v>
      </c>
      <c r="B171" s="13"/>
      <c r="C171" s="182" t="s">
        <v>621</v>
      </c>
      <c r="D171" s="182" t="s">
        <v>506</v>
      </c>
      <c r="E171" s="183" t="s">
        <v>906</v>
      </c>
      <c r="F171" s="182">
        <v>600</v>
      </c>
      <c r="G171" s="485">
        <v>6498637</v>
      </c>
      <c r="H171" s="485">
        <v>6438638</v>
      </c>
    </row>
    <row r="172" spans="1:8" ht="38.25">
      <c r="A172" s="185" t="s">
        <v>468</v>
      </c>
      <c r="B172" s="185"/>
      <c r="C172" s="182" t="s">
        <v>621</v>
      </c>
      <c r="D172" s="182" t="s">
        <v>506</v>
      </c>
      <c r="E172" s="183" t="s">
        <v>287</v>
      </c>
      <c r="F172" s="182"/>
      <c r="G172" s="484">
        <f>G173</f>
        <v>12467788</v>
      </c>
      <c r="H172" s="484">
        <f>H173</f>
        <v>11703379</v>
      </c>
    </row>
    <row r="173" spans="1:8" ht="51">
      <c r="A173" s="13" t="s">
        <v>88</v>
      </c>
      <c r="B173" s="13"/>
      <c r="C173" s="182" t="s">
        <v>621</v>
      </c>
      <c r="D173" s="182" t="s">
        <v>506</v>
      </c>
      <c r="E173" s="183" t="s">
        <v>287</v>
      </c>
      <c r="F173" s="182">
        <v>600</v>
      </c>
      <c r="G173" s="485">
        <v>12467788</v>
      </c>
      <c r="H173" s="485">
        <v>11703379</v>
      </c>
    </row>
    <row r="174" spans="1:8" ht="25.5">
      <c r="A174" s="28" t="s">
        <v>433</v>
      </c>
      <c r="B174" s="28"/>
      <c r="C174" s="182" t="s">
        <v>621</v>
      </c>
      <c r="D174" s="182" t="s">
        <v>506</v>
      </c>
      <c r="E174" s="183" t="s">
        <v>288</v>
      </c>
      <c r="F174" s="182"/>
      <c r="G174" s="485">
        <f>G175+G177+G179+G183+G181</f>
        <v>8968504</v>
      </c>
      <c r="H174" s="485">
        <f>H175+H177+H179+H183+H181</f>
        <v>9683699</v>
      </c>
    </row>
    <row r="175" spans="1:8" ht="76.5">
      <c r="A175" s="28" t="s">
        <v>371</v>
      </c>
      <c r="B175" s="49"/>
      <c r="C175" s="182" t="s">
        <v>621</v>
      </c>
      <c r="D175" s="182" t="s">
        <v>506</v>
      </c>
      <c r="E175" s="183" t="s">
        <v>372</v>
      </c>
      <c r="F175" s="182"/>
      <c r="G175" s="484">
        <f>G176</f>
        <v>6138789</v>
      </c>
      <c r="H175" s="484">
        <f>H176</f>
        <v>6324077</v>
      </c>
    </row>
    <row r="176" spans="1:8" ht="51">
      <c r="A176" s="13" t="s">
        <v>88</v>
      </c>
      <c r="B176" s="13"/>
      <c r="C176" s="182" t="s">
        <v>621</v>
      </c>
      <c r="D176" s="182" t="s">
        <v>506</v>
      </c>
      <c r="E176" s="183" t="s">
        <v>372</v>
      </c>
      <c r="F176" s="182">
        <v>600</v>
      </c>
      <c r="G176" s="485">
        <f>6093224+45565</f>
        <v>6138789</v>
      </c>
      <c r="H176" s="485">
        <f>6274579+49498</f>
        <v>6324077</v>
      </c>
    </row>
    <row r="177" spans="1:8" ht="102">
      <c r="A177" s="298" t="s">
        <v>709</v>
      </c>
      <c r="B177" s="298"/>
      <c r="C177" s="182" t="s">
        <v>621</v>
      </c>
      <c r="D177" s="182" t="s">
        <v>506</v>
      </c>
      <c r="E177" s="183" t="s">
        <v>710</v>
      </c>
      <c r="F177" s="182"/>
      <c r="G177" s="485">
        <f>G178</f>
        <v>318065</v>
      </c>
      <c r="H177" s="485">
        <f>H178</f>
        <v>318065</v>
      </c>
    </row>
    <row r="178" spans="1:8" ht="51">
      <c r="A178" s="13" t="s">
        <v>88</v>
      </c>
      <c r="B178" s="13"/>
      <c r="C178" s="182" t="s">
        <v>621</v>
      </c>
      <c r="D178" s="182" t="s">
        <v>506</v>
      </c>
      <c r="E178" s="183" t="s">
        <v>710</v>
      </c>
      <c r="F178" s="182">
        <v>600</v>
      </c>
      <c r="G178" s="485">
        <v>318065</v>
      </c>
      <c r="H178" s="485">
        <v>318065</v>
      </c>
    </row>
    <row r="179" spans="1:8" ht="89.25">
      <c r="A179" s="49" t="s">
        <v>279</v>
      </c>
      <c r="B179" s="49"/>
      <c r="C179" s="182" t="s">
        <v>621</v>
      </c>
      <c r="D179" s="182" t="s">
        <v>506</v>
      </c>
      <c r="E179" s="183" t="s">
        <v>289</v>
      </c>
      <c r="F179" s="182"/>
      <c r="G179" s="484">
        <f>G180</f>
        <v>2127215</v>
      </c>
      <c r="H179" s="484">
        <f>H180</f>
        <v>2127215</v>
      </c>
    </row>
    <row r="180" spans="1:8" ht="51">
      <c r="A180" s="13" t="s">
        <v>88</v>
      </c>
      <c r="B180" s="13"/>
      <c r="C180" s="182" t="s">
        <v>621</v>
      </c>
      <c r="D180" s="182" t="s">
        <v>506</v>
      </c>
      <c r="E180" s="183" t="s">
        <v>289</v>
      </c>
      <c r="F180" s="182">
        <v>600</v>
      </c>
      <c r="G180" s="485">
        <v>2127215</v>
      </c>
      <c r="H180" s="485">
        <v>2127215</v>
      </c>
    </row>
    <row r="181" spans="1:8" ht="38.25">
      <c r="A181" s="129" t="s">
        <v>468</v>
      </c>
      <c r="B181" s="13"/>
      <c r="C181" s="127" t="s">
        <v>621</v>
      </c>
      <c r="D181" s="127" t="s">
        <v>506</v>
      </c>
      <c r="E181" s="128" t="s">
        <v>370</v>
      </c>
      <c r="F181" s="127"/>
      <c r="G181" s="485">
        <f>G182</f>
        <v>384435</v>
      </c>
      <c r="H181" s="485">
        <f>H182</f>
        <v>914342</v>
      </c>
    </row>
    <row r="182" spans="1:8" ht="51">
      <c r="A182" s="139" t="s">
        <v>88</v>
      </c>
      <c r="B182" s="13"/>
      <c r="C182" s="127" t="s">
        <v>621</v>
      </c>
      <c r="D182" s="127" t="s">
        <v>506</v>
      </c>
      <c r="E182" s="128" t="s">
        <v>370</v>
      </c>
      <c r="F182" s="127">
        <v>600</v>
      </c>
      <c r="G182" s="485">
        <f>430000-45565</f>
        <v>384435</v>
      </c>
      <c r="H182" s="485">
        <f>963840-49498</f>
        <v>914342</v>
      </c>
    </row>
    <row r="183" spans="1:8" ht="12.75" hidden="1">
      <c r="A183" s="13"/>
      <c r="B183" s="13"/>
      <c r="C183" s="182"/>
      <c r="D183" s="182"/>
      <c r="E183" s="183"/>
      <c r="F183" s="182"/>
      <c r="G183" s="485">
        <f>G184</f>
        <v>0</v>
      </c>
      <c r="H183" s="485">
        <f>H184</f>
        <v>0</v>
      </c>
    </row>
    <row r="184" spans="1:8" ht="12.75" hidden="1">
      <c r="A184" s="13"/>
      <c r="B184" s="13"/>
      <c r="C184" s="182"/>
      <c r="D184" s="182"/>
      <c r="E184" s="183"/>
      <c r="F184" s="182"/>
      <c r="G184" s="485"/>
      <c r="H184" s="485"/>
    </row>
    <row r="185" spans="1:8" ht="140.25">
      <c r="A185" s="28" t="s">
        <v>910</v>
      </c>
      <c r="B185" s="13"/>
      <c r="C185" s="127" t="s">
        <v>621</v>
      </c>
      <c r="D185" s="127" t="s">
        <v>506</v>
      </c>
      <c r="E185" s="128" t="s">
        <v>912</v>
      </c>
      <c r="F185" s="127"/>
      <c r="G185" s="487">
        <f>G186+G190+G188</f>
        <v>65915664</v>
      </c>
      <c r="H185" s="487">
        <f>H186+H190+H188</f>
        <v>0</v>
      </c>
    </row>
    <row r="186" spans="1:8" ht="89.25">
      <c r="A186" s="377" t="s">
        <v>980</v>
      </c>
      <c r="B186" s="13"/>
      <c r="C186" s="127" t="s">
        <v>621</v>
      </c>
      <c r="D186" s="127" t="s">
        <v>506</v>
      </c>
      <c r="E186" s="128" t="s">
        <v>981</v>
      </c>
      <c r="F186" s="127"/>
      <c r="G186" s="487">
        <f>G187</f>
        <v>63766132</v>
      </c>
      <c r="H186" s="487">
        <f>H187</f>
        <v>0</v>
      </c>
    </row>
    <row r="187" spans="1:8" ht="51">
      <c r="A187" s="139" t="s">
        <v>88</v>
      </c>
      <c r="B187" s="13"/>
      <c r="C187" s="127" t="s">
        <v>621</v>
      </c>
      <c r="D187" s="127" t="s">
        <v>506</v>
      </c>
      <c r="E187" s="128" t="s">
        <v>981</v>
      </c>
      <c r="F187" s="127" t="s">
        <v>77</v>
      </c>
      <c r="G187" s="487">
        <f>1275323+62490809</f>
        <v>63766132</v>
      </c>
      <c r="H187" s="487"/>
    </row>
    <row r="188" spans="1:8" ht="51">
      <c r="A188" s="139" t="s">
        <v>918</v>
      </c>
      <c r="B188" s="13"/>
      <c r="C188" s="127" t="s">
        <v>621</v>
      </c>
      <c r="D188" s="127" t="s">
        <v>506</v>
      </c>
      <c r="E188" s="128" t="s">
        <v>919</v>
      </c>
      <c r="F188" s="127"/>
      <c r="G188" s="487">
        <f>G189</f>
        <v>2106541</v>
      </c>
      <c r="H188" s="487">
        <f>H189</f>
        <v>0</v>
      </c>
    </row>
    <row r="189" spans="1:8" ht="51">
      <c r="A189" s="139" t="s">
        <v>88</v>
      </c>
      <c r="B189" s="13"/>
      <c r="C189" s="127" t="s">
        <v>621</v>
      </c>
      <c r="D189" s="127" t="s">
        <v>506</v>
      </c>
      <c r="E189" s="128" t="s">
        <v>919</v>
      </c>
      <c r="F189" s="127">
        <v>600</v>
      </c>
      <c r="G189" s="487">
        <v>2106541</v>
      </c>
      <c r="H189" s="487"/>
    </row>
    <row r="190" spans="1:8" ht="51">
      <c r="A190" s="397" t="s">
        <v>911</v>
      </c>
      <c r="B190" s="13"/>
      <c r="C190" s="127" t="s">
        <v>621</v>
      </c>
      <c r="D190" s="127" t="s">
        <v>506</v>
      </c>
      <c r="E190" s="128" t="s">
        <v>913</v>
      </c>
      <c r="F190" s="127"/>
      <c r="G190" s="487">
        <f>G191</f>
        <v>42991</v>
      </c>
      <c r="H190" s="487">
        <f>H191</f>
        <v>0</v>
      </c>
    </row>
    <row r="191" spans="1:8" ht="51">
      <c r="A191" s="139" t="s">
        <v>88</v>
      </c>
      <c r="B191" s="13"/>
      <c r="C191" s="127" t="s">
        <v>621</v>
      </c>
      <c r="D191" s="127" t="s">
        <v>506</v>
      </c>
      <c r="E191" s="128" t="s">
        <v>913</v>
      </c>
      <c r="F191" s="127" t="s">
        <v>77</v>
      </c>
      <c r="G191" s="487">
        <v>42991</v>
      </c>
      <c r="H191" s="487"/>
    </row>
    <row r="192" spans="1:8" ht="25.5" hidden="1">
      <c r="A192" s="297" t="s">
        <v>713</v>
      </c>
      <c r="B192" s="13"/>
      <c r="C192" s="182" t="s">
        <v>621</v>
      </c>
      <c r="D192" s="182" t="s">
        <v>506</v>
      </c>
      <c r="E192" s="183" t="s">
        <v>315</v>
      </c>
      <c r="F192" s="182"/>
      <c r="G192" s="484">
        <f>G193</f>
        <v>0</v>
      </c>
      <c r="H192" s="484">
        <f>H193</f>
        <v>0</v>
      </c>
    </row>
    <row r="193" spans="1:8" ht="89.25" hidden="1">
      <c r="A193" s="297" t="s">
        <v>149</v>
      </c>
      <c r="B193" s="13"/>
      <c r="C193" s="182" t="s">
        <v>621</v>
      </c>
      <c r="D193" s="182" t="s">
        <v>506</v>
      </c>
      <c r="E193" s="183" t="s">
        <v>316</v>
      </c>
      <c r="F193" s="182"/>
      <c r="G193" s="484">
        <f>G194</f>
        <v>0</v>
      </c>
      <c r="H193" s="484">
        <f>H194</f>
        <v>0</v>
      </c>
    </row>
    <row r="194" spans="1:8" ht="51" hidden="1">
      <c r="A194" s="13" t="s">
        <v>88</v>
      </c>
      <c r="B194" s="13"/>
      <c r="C194" s="182" t="s">
        <v>621</v>
      </c>
      <c r="D194" s="182" t="s">
        <v>506</v>
      </c>
      <c r="E194" s="183" t="s">
        <v>316</v>
      </c>
      <c r="F194" s="182">
        <v>600</v>
      </c>
      <c r="G194" s="485"/>
      <c r="H194" s="485"/>
    </row>
    <row r="195" spans="1:8" ht="25.5" hidden="1">
      <c r="A195" s="297" t="s">
        <v>105</v>
      </c>
      <c r="B195" s="297"/>
      <c r="C195" s="182" t="s">
        <v>621</v>
      </c>
      <c r="D195" s="182" t="s">
        <v>506</v>
      </c>
      <c r="E195" s="183" t="s">
        <v>60</v>
      </c>
      <c r="F195" s="182"/>
      <c r="G195" s="484">
        <f>G196</f>
        <v>0</v>
      </c>
      <c r="H195" s="484">
        <f>H196</f>
        <v>0</v>
      </c>
    </row>
    <row r="196" spans="1:8" ht="51" hidden="1">
      <c r="A196" s="297" t="s">
        <v>150</v>
      </c>
      <c r="B196" s="297"/>
      <c r="C196" s="182" t="s">
        <v>621</v>
      </c>
      <c r="D196" s="182" t="s">
        <v>506</v>
      </c>
      <c r="E196" s="183" t="s">
        <v>61</v>
      </c>
      <c r="F196" s="182"/>
      <c r="G196" s="484">
        <f>G197</f>
        <v>0</v>
      </c>
      <c r="H196" s="484">
        <f>H197</f>
        <v>0</v>
      </c>
    </row>
    <row r="197" spans="1:8" ht="51" hidden="1">
      <c r="A197" s="13" t="s">
        <v>88</v>
      </c>
      <c r="B197" s="13"/>
      <c r="C197" s="182" t="s">
        <v>621</v>
      </c>
      <c r="D197" s="182" t="s">
        <v>506</v>
      </c>
      <c r="E197" s="183" t="s">
        <v>61</v>
      </c>
      <c r="F197" s="182">
        <v>600</v>
      </c>
      <c r="G197" s="485"/>
      <c r="H197" s="485"/>
    </row>
    <row r="198" spans="1:8" ht="76.5" hidden="1">
      <c r="A198" s="297" t="s">
        <v>59</v>
      </c>
      <c r="B198" s="13"/>
      <c r="C198" s="182" t="s">
        <v>621</v>
      </c>
      <c r="D198" s="182" t="s">
        <v>506</v>
      </c>
      <c r="E198" s="183" t="s">
        <v>338</v>
      </c>
      <c r="F198" s="182"/>
      <c r="G198" s="485">
        <f>G199</f>
        <v>0</v>
      </c>
      <c r="H198" s="485"/>
    </row>
    <row r="199" spans="1:8" ht="51" hidden="1">
      <c r="A199" s="13" t="s">
        <v>88</v>
      </c>
      <c r="B199" s="13"/>
      <c r="C199" s="182" t="s">
        <v>621</v>
      </c>
      <c r="D199" s="182" t="s">
        <v>506</v>
      </c>
      <c r="E199" s="183" t="s">
        <v>338</v>
      </c>
      <c r="F199" s="182">
        <v>600</v>
      </c>
      <c r="G199" s="485"/>
      <c r="H199" s="485"/>
    </row>
    <row r="200" spans="1:8" ht="25.5">
      <c r="A200" s="12" t="s">
        <v>39</v>
      </c>
      <c r="B200" s="12"/>
      <c r="C200" s="182" t="s">
        <v>621</v>
      </c>
      <c r="D200" s="210" t="s">
        <v>99</v>
      </c>
      <c r="E200" s="183"/>
      <c r="F200" s="182"/>
      <c r="G200" s="484">
        <f aca="true" t="shared" si="16" ref="G200:H204">G201</f>
        <v>16455200</v>
      </c>
      <c r="H200" s="484">
        <f t="shared" si="16"/>
        <v>16683807</v>
      </c>
    </row>
    <row r="201" spans="1:8" ht="51">
      <c r="A201" s="198" t="s">
        <v>261</v>
      </c>
      <c r="B201" s="198"/>
      <c r="C201" s="182" t="s">
        <v>621</v>
      </c>
      <c r="D201" s="210" t="s">
        <v>99</v>
      </c>
      <c r="E201" s="183" t="s">
        <v>530</v>
      </c>
      <c r="F201" s="182"/>
      <c r="G201" s="484">
        <f t="shared" si="16"/>
        <v>16455200</v>
      </c>
      <c r="H201" s="484">
        <f t="shared" si="16"/>
        <v>16683807</v>
      </c>
    </row>
    <row r="202" spans="1:8" ht="76.5">
      <c r="A202" s="12" t="s">
        <v>670</v>
      </c>
      <c r="B202" s="12"/>
      <c r="C202" s="182" t="s">
        <v>621</v>
      </c>
      <c r="D202" s="210" t="s">
        <v>99</v>
      </c>
      <c r="E202" s="186" t="s">
        <v>290</v>
      </c>
      <c r="F202" s="185" t="s">
        <v>85</v>
      </c>
      <c r="G202" s="484">
        <f t="shared" si="16"/>
        <v>16455200</v>
      </c>
      <c r="H202" s="484">
        <f t="shared" si="16"/>
        <v>16683807</v>
      </c>
    </row>
    <row r="203" spans="1:8" ht="51">
      <c r="A203" s="28" t="s">
        <v>434</v>
      </c>
      <c r="B203" s="28"/>
      <c r="C203" s="182" t="s">
        <v>621</v>
      </c>
      <c r="D203" s="210" t="s">
        <v>99</v>
      </c>
      <c r="E203" s="183" t="s">
        <v>291</v>
      </c>
      <c r="F203" s="185"/>
      <c r="G203" s="484">
        <f t="shared" si="16"/>
        <v>16455200</v>
      </c>
      <c r="H203" s="484">
        <f t="shared" si="16"/>
        <v>16683807</v>
      </c>
    </row>
    <row r="204" spans="1:8" ht="38.25">
      <c r="A204" s="185" t="s">
        <v>468</v>
      </c>
      <c r="B204" s="185"/>
      <c r="C204" s="182" t="s">
        <v>621</v>
      </c>
      <c r="D204" s="210" t="s">
        <v>99</v>
      </c>
      <c r="E204" s="183" t="s">
        <v>292</v>
      </c>
      <c r="F204" s="182" t="s">
        <v>85</v>
      </c>
      <c r="G204" s="484">
        <f t="shared" si="16"/>
        <v>16455200</v>
      </c>
      <c r="H204" s="484">
        <f t="shared" si="16"/>
        <v>16683807</v>
      </c>
    </row>
    <row r="205" spans="1:8" ht="51">
      <c r="A205" s="13" t="s">
        <v>88</v>
      </c>
      <c r="B205" s="13"/>
      <c r="C205" s="182" t="s">
        <v>621</v>
      </c>
      <c r="D205" s="210" t="s">
        <v>99</v>
      </c>
      <c r="E205" s="183" t="s">
        <v>292</v>
      </c>
      <c r="F205" s="182">
        <v>600</v>
      </c>
      <c r="G205" s="485">
        <f>17773514-1318314</f>
        <v>16455200</v>
      </c>
      <c r="H205" s="485">
        <v>16683807</v>
      </c>
    </row>
    <row r="206" spans="1:8" ht="12.75">
      <c r="A206" s="201" t="s">
        <v>40</v>
      </c>
      <c r="B206" s="201"/>
      <c r="C206" s="200" t="s">
        <v>621</v>
      </c>
      <c r="D206" s="200" t="s">
        <v>621</v>
      </c>
      <c r="E206" s="200" t="s">
        <v>85</v>
      </c>
      <c r="F206" s="200" t="s">
        <v>85</v>
      </c>
      <c r="G206" s="484">
        <f>G207</f>
        <v>1611036</v>
      </c>
      <c r="H206" s="484">
        <f>H207</f>
        <v>1607541</v>
      </c>
    </row>
    <row r="207" spans="1:8" ht="75.75" customHeight="1">
      <c r="A207" s="198" t="s">
        <v>413</v>
      </c>
      <c r="B207" s="198"/>
      <c r="C207" s="182" t="s">
        <v>621</v>
      </c>
      <c r="D207" s="182" t="s">
        <v>621</v>
      </c>
      <c r="E207" s="183" t="s">
        <v>412</v>
      </c>
      <c r="F207" s="182" t="s">
        <v>85</v>
      </c>
      <c r="G207" s="484">
        <f>G208</f>
        <v>1611036</v>
      </c>
      <c r="H207" s="484">
        <f>H208</f>
        <v>1607541</v>
      </c>
    </row>
    <row r="208" spans="1:8" ht="127.5">
      <c r="A208" s="12" t="s">
        <v>336</v>
      </c>
      <c r="B208" s="12"/>
      <c r="C208" s="182" t="s">
        <v>621</v>
      </c>
      <c r="D208" s="182" t="s">
        <v>621</v>
      </c>
      <c r="E208" s="186" t="s">
        <v>462</v>
      </c>
      <c r="F208" s="185" t="s">
        <v>85</v>
      </c>
      <c r="G208" s="484">
        <f>G209+G216</f>
        <v>1611036</v>
      </c>
      <c r="H208" s="484">
        <f>H209+H216</f>
        <v>1607541</v>
      </c>
    </row>
    <row r="209" spans="1:8" ht="38.25">
      <c r="A209" s="33" t="s">
        <v>461</v>
      </c>
      <c r="B209" s="33"/>
      <c r="C209" s="182" t="s">
        <v>621</v>
      </c>
      <c r="D209" s="182" t="s">
        <v>621</v>
      </c>
      <c r="E209" s="183" t="s">
        <v>460</v>
      </c>
      <c r="F209" s="185"/>
      <c r="G209" s="484">
        <f>G210+G213</f>
        <v>1561036</v>
      </c>
      <c r="H209" s="484">
        <f>H210+H213</f>
        <v>1560607</v>
      </c>
    </row>
    <row r="210" spans="1:8" ht="25.5">
      <c r="A210" s="33" t="s">
        <v>459</v>
      </c>
      <c r="B210" s="33"/>
      <c r="C210" s="182" t="s">
        <v>621</v>
      </c>
      <c r="D210" s="182" t="s">
        <v>621</v>
      </c>
      <c r="E210" s="183" t="s">
        <v>458</v>
      </c>
      <c r="F210" s="185"/>
      <c r="G210" s="484">
        <f>SUM(G211:G212)</f>
        <v>7000</v>
      </c>
      <c r="H210" s="484">
        <f>SUM(H211:H212)</f>
        <v>6571</v>
      </c>
    </row>
    <row r="211" spans="1:8" ht="38.25" hidden="1">
      <c r="A211" s="13" t="s">
        <v>212</v>
      </c>
      <c r="B211" s="13"/>
      <c r="C211" s="182" t="s">
        <v>621</v>
      </c>
      <c r="D211" s="182" t="s">
        <v>621</v>
      </c>
      <c r="E211" s="183" t="s">
        <v>458</v>
      </c>
      <c r="F211" s="185">
        <v>200</v>
      </c>
      <c r="G211" s="485"/>
      <c r="H211" s="485"/>
    </row>
    <row r="212" spans="1:8" ht="51">
      <c r="A212" s="13" t="s">
        <v>88</v>
      </c>
      <c r="B212" s="13"/>
      <c r="C212" s="182" t="s">
        <v>621</v>
      </c>
      <c r="D212" s="182" t="s">
        <v>621</v>
      </c>
      <c r="E212" s="183" t="s">
        <v>458</v>
      </c>
      <c r="F212" s="185">
        <v>600</v>
      </c>
      <c r="G212" s="485">
        <v>7000</v>
      </c>
      <c r="H212" s="485">
        <v>6571</v>
      </c>
    </row>
    <row r="213" spans="1:8" ht="38.25">
      <c r="A213" s="49" t="s">
        <v>469</v>
      </c>
      <c r="B213" s="49"/>
      <c r="C213" s="182" t="s">
        <v>621</v>
      </c>
      <c r="D213" s="182" t="s">
        <v>621</v>
      </c>
      <c r="E213" s="183" t="s">
        <v>265</v>
      </c>
      <c r="F213" s="185"/>
      <c r="G213" s="484">
        <f>SUM(G214:G215)</f>
        <v>1554036</v>
      </c>
      <c r="H213" s="484">
        <f>SUM(H214:H215)</f>
        <v>1554036</v>
      </c>
    </row>
    <row r="214" spans="1:8" ht="25.5">
      <c r="A214" s="13" t="s">
        <v>79</v>
      </c>
      <c r="B214" s="13"/>
      <c r="C214" s="182" t="s">
        <v>621</v>
      </c>
      <c r="D214" s="182" t="s">
        <v>621</v>
      </c>
      <c r="E214" s="183" t="s">
        <v>265</v>
      </c>
      <c r="F214" s="185">
        <v>300</v>
      </c>
      <c r="G214" s="485">
        <v>691391</v>
      </c>
      <c r="H214" s="485">
        <v>691391</v>
      </c>
    </row>
    <row r="215" spans="1:8" ht="51">
      <c r="A215" s="13" t="s">
        <v>88</v>
      </c>
      <c r="B215" s="13"/>
      <c r="C215" s="182" t="s">
        <v>621</v>
      </c>
      <c r="D215" s="182" t="s">
        <v>621</v>
      </c>
      <c r="E215" s="183" t="s">
        <v>265</v>
      </c>
      <c r="F215" s="185">
        <v>600</v>
      </c>
      <c r="G215" s="485">
        <v>862645</v>
      </c>
      <c r="H215" s="485">
        <v>862645</v>
      </c>
    </row>
    <row r="216" spans="1:8" ht="63.75">
      <c r="A216" s="33" t="s">
        <v>715</v>
      </c>
      <c r="B216" s="33"/>
      <c r="C216" s="182" t="s">
        <v>621</v>
      </c>
      <c r="D216" s="182" t="s">
        <v>621</v>
      </c>
      <c r="E216" s="183" t="s">
        <v>716</v>
      </c>
      <c r="F216" s="185"/>
      <c r="G216" s="484">
        <f>G217</f>
        <v>50000</v>
      </c>
      <c r="H216" s="484">
        <f>H217</f>
        <v>46934</v>
      </c>
    </row>
    <row r="217" spans="1:8" ht="25.5">
      <c r="A217" s="33" t="s">
        <v>718</v>
      </c>
      <c r="B217" s="33"/>
      <c r="C217" s="182" t="s">
        <v>621</v>
      </c>
      <c r="D217" s="182" t="s">
        <v>621</v>
      </c>
      <c r="E217" s="183" t="s">
        <v>717</v>
      </c>
      <c r="F217" s="185"/>
      <c r="G217" s="484">
        <f>G218</f>
        <v>50000</v>
      </c>
      <c r="H217" s="484">
        <f>H218</f>
        <v>46934</v>
      </c>
    </row>
    <row r="218" spans="1:8" ht="38.25">
      <c r="A218" s="13" t="s">
        <v>212</v>
      </c>
      <c r="B218" s="13"/>
      <c r="C218" s="182" t="s">
        <v>621</v>
      </c>
      <c r="D218" s="182" t="s">
        <v>621</v>
      </c>
      <c r="E218" s="183" t="s">
        <v>717</v>
      </c>
      <c r="F218" s="185">
        <v>200</v>
      </c>
      <c r="G218" s="485">
        <v>50000</v>
      </c>
      <c r="H218" s="485">
        <v>46934</v>
      </c>
    </row>
    <row r="219" spans="1:8" ht="25.5">
      <c r="A219" s="201" t="s">
        <v>537</v>
      </c>
      <c r="B219" s="201"/>
      <c r="C219" s="200" t="s">
        <v>621</v>
      </c>
      <c r="D219" s="200" t="s">
        <v>100</v>
      </c>
      <c r="E219" s="200" t="s">
        <v>85</v>
      </c>
      <c r="F219" s="200" t="s">
        <v>85</v>
      </c>
      <c r="G219" s="484">
        <f>G220</f>
        <v>8287461</v>
      </c>
      <c r="H219" s="484">
        <f>H220</f>
        <v>7793822</v>
      </c>
    </row>
    <row r="220" spans="1:8" ht="51">
      <c r="A220" s="198" t="s">
        <v>263</v>
      </c>
      <c r="B220" s="198"/>
      <c r="C220" s="182" t="s">
        <v>621</v>
      </c>
      <c r="D220" s="182" t="s">
        <v>100</v>
      </c>
      <c r="E220" s="183" t="s">
        <v>530</v>
      </c>
      <c r="F220" s="182" t="s">
        <v>85</v>
      </c>
      <c r="G220" s="484">
        <f>G221</f>
        <v>8287461</v>
      </c>
      <c r="H220" s="484">
        <f>H221</f>
        <v>7793822</v>
      </c>
    </row>
    <row r="221" spans="1:8" ht="76.5">
      <c r="A221" s="12" t="s">
        <v>671</v>
      </c>
      <c r="B221" s="12"/>
      <c r="C221" s="182" t="s">
        <v>621</v>
      </c>
      <c r="D221" s="182" t="s">
        <v>100</v>
      </c>
      <c r="E221" s="183" t="s">
        <v>293</v>
      </c>
      <c r="F221" s="185" t="s">
        <v>85</v>
      </c>
      <c r="G221" s="484">
        <f>G222+G225</f>
        <v>8287461</v>
      </c>
      <c r="H221" s="484">
        <f>H222+H225</f>
        <v>7793822</v>
      </c>
    </row>
    <row r="222" spans="1:8" ht="65.25" customHeight="1">
      <c r="A222" s="28" t="s">
        <v>435</v>
      </c>
      <c r="B222" s="28"/>
      <c r="C222" s="182" t="s">
        <v>621</v>
      </c>
      <c r="D222" s="182" t="s">
        <v>100</v>
      </c>
      <c r="E222" s="183" t="s">
        <v>294</v>
      </c>
      <c r="F222" s="185"/>
      <c r="G222" s="484">
        <f>G223</f>
        <v>236023</v>
      </c>
      <c r="H222" s="484">
        <f>H223</f>
        <v>236023</v>
      </c>
    </row>
    <row r="223" spans="1:8" ht="63.75">
      <c r="A223" s="13" t="s">
        <v>569</v>
      </c>
      <c r="B223" s="13"/>
      <c r="C223" s="182" t="s">
        <v>621</v>
      </c>
      <c r="D223" s="182" t="s">
        <v>100</v>
      </c>
      <c r="E223" s="183" t="s">
        <v>295</v>
      </c>
      <c r="F223" s="182"/>
      <c r="G223" s="484">
        <f>G224</f>
        <v>236023</v>
      </c>
      <c r="H223" s="484">
        <f>H224</f>
        <v>236023</v>
      </c>
    </row>
    <row r="224" spans="1:8" ht="89.25">
      <c r="A224" s="13" t="s">
        <v>698</v>
      </c>
      <c r="B224" s="13"/>
      <c r="C224" s="182" t="s">
        <v>621</v>
      </c>
      <c r="D224" s="182" t="s">
        <v>100</v>
      </c>
      <c r="E224" s="183" t="s">
        <v>295</v>
      </c>
      <c r="F224" s="182">
        <v>100</v>
      </c>
      <c r="G224" s="485">
        <v>236023</v>
      </c>
      <c r="H224" s="485">
        <v>236023</v>
      </c>
    </row>
    <row r="225" spans="1:8" ht="54.75" customHeight="1">
      <c r="A225" s="33" t="s">
        <v>310</v>
      </c>
      <c r="B225" s="33"/>
      <c r="C225" s="182" t="s">
        <v>621</v>
      </c>
      <c r="D225" s="182" t="s">
        <v>100</v>
      </c>
      <c r="E225" s="183" t="s">
        <v>297</v>
      </c>
      <c r="F225" s="182"/>
      <c r="G225" s="484">
        <f>G226</f>
        <v>8051438</v>
      </c>
      <c r="H225" s="484">
        <f>H226</f>
        <v>7557799</v>
      </c>
    </row>
    <row r="226" spans="1:8" ht="38.25">
      <c r="A226" s="185" t="s">
        <v>468</v>
      </c>
      <c r="B226" s="185"/>
      <c r="C226" s="182" t="s">
        <v>621</v>
      </c>
      <c r="D226" s="182" t="s">
        <v>100</v>
      </c>
      <c r="E226" s="183" t="s">
        <v>298</v>
      </c>
      <c r="F226" s="182" t="s">
        <v>85</v>
      </c>
      <c r="G226" s="484">
        <f>SUM(G227:G229)</f>
        <v>8051438</v>
      </c>
      <c r="H226" s="484">
        <f>SUM(H227:H229)</f>
        <v>7557799</v>
      </c>
    </row>
    <row r="227" spans="1:8" ht="89.25">
      <c r="A227" s="13" t="s">
        <v>698</v>
      </c>
      <c r="B227" s="13"/>
      <c r="C227" s="182" t="s">
        <v>621</v>
      </c>
      <c r="D227" s="182" t="s">
        <v>100</v>
      </c>
      <c r="E227" s="183" t="s">
        <v>298</v>
      </c>
      <c r="F227" s="182" t="s">
        <v>565</v>
      </c>
      <c r="G227" s="485">
        <v>7641344</v>
      </c>
      <c r="H227" s="485">
        <v>7172848</v>
      </c>
    </row>
    <row r="228" spans="1:8" ht="38.25">
      <c r="A228" s="13" t="s">
        <v>212</v>
      </c>
      <c r="B228" s="13"/>
      <c r="C228" s="182" t="s">
        <v>621</v>
      </c>
      <c r="D228" s="182" t="s">
        <v>100</v>
      </c>
      <c r="E228" s="183" t="s">
        <v>298</v>
      </c>
      <c r="F228" s="182" t="s">
        <v>72</v>
      </c>
      <c r="G228" s="485">
        <v>404804</v>
      </c>
      <c r="H228" s="485">
        <v>379985</v>
      </c>
    </row>
    <row r="229" spans="1:8" ht="12.75">
      <c r="A229" s="180" t="s">
        <v>75</v>
      </c>
      <c r="B229" s="180"/>
      <c r="C229" s="178" t="s">
        <v>621</v>
      </c>
      <c r="D229" s="178" t="s">
        <v>100</v>
      </c>
      <c r="E229" s="179" t="s">
        <v>298</v>
      </c>
      <c r="F229" s="178">
        <v>800</v>
      </c>
      <c r="G229" s="489">
        <v>5290</v>
      </c>
      <c r="H229" s="489">
        <v>4966</v>
      </c>
    </row>
    <row r="230" spans="1:8" ht="12.75">
      <c r="A230" s="161" t="s">
        <v>685</v>
      </c>
      <c r="B230" s="161"/>
      <c r="C230" s="159" t="s">
        <v>526</v>
      </c>
      <c r="D230" s="203" t="s">
        <v>436</v>
      </c>
      <c r="E230" s="159" t="s">
        <v>85</v>
      </c>
      <c r="F230" s="159" t="s">
        <v>85</v>
      </c>
      <c r="G230" s="483">
        <f>G231</f>
        <v>28550829</v>
      </c>
      <c r="H230" s="483">
        <f>H231</f>
        <v>26809744</v>
      </c>
    </row>
    <row r="231" spans="1:8" ht="12.75">
      <c r="A231" s="201" t="s">
        <v>538</v>
      </c>
      <c r="B231" s="201"/>
      <c r="C231" s="200" t="s">
        <v>526</v>
      </c>
      <c r="D231" s="200" t="s">
        <v>504</v>
      </c>
      <c r="E231" s="200" t="s">
        <v>85</v>
      </c>
      <c r="F231" s="200" t="s">
        <v>85</v>
      </c>
      <c r="G231" s="484">
        <f>G232</f>
        <v>28550829</v>
      </c>
      <c r="H231" s="484">
        <f>H232</f>
        <v>26809744</v>
      </c>
    </row>
    <row r="232" spans="1:8" ht="38.25">
      <c r="A232" s="198" t="s">
        <v>15</v>
      </c>
      <c r="B232" s="198"/>
      <c r="C232" s="182" t="s">
        <v>526</v>
      </c>
      <c r="D232" s="182" t="s">
        <v>504</v>
      </c>
      <c r="E232" s="183" t="s">
        <v>299</v>
      </c>
      <c r="F232" s="182" t="s">
        <v>85</v>
      </c>
      <c r="G232" s="484">
        <f>G233+G239</f>
        <v>28550829</v>
      </c>
      <c r="H232" s="484">
        <f>H233+H239</f>
        <v>26809744</v>
      </c>
    </row>
    <row r="233" spans="1:8" ht="51">
      <c r="A233" s="12" t="s">
        <v>559</v>
      </c>
      <c r="B233" s="12"/>
      <c r="C233" s="182" t="s">
        <v>526</v>
      </c>
      <c r="D233" s="182" t="s">
        <v>504</v>
      </c>
      <c r="E233" s="183" t="s">
        <v>300</v>
      </c>
      <c r="F233" s="185" t="s">
        <v>85</v>
      </c>
      <c r="G233" s="484">
        <f>G234</f>
        <v>5429723</v>
      </c>
      <c r="H233" s="484">
        <f>H234</f>
        <v>5096823</v>
      </c>
    </row>
    <row r="234" spans="1:8" ht="25.5">
      <c r="A234" s="29" t="s">
        <v>457</v>
      </c>
      <c r="B234" s="29"/>
      <c r="C234" s="182" t="s">
        <v>526</v>
      </c>
      <c r="D234" s="182" t="s">
        <v>504</v>
      </c>
      <c r="E234" s="183" t="s">
        <v>301</v>
      </c>
      <c r="F234" s="185"/>
      <c r="G234" s="484">
        <f>G235</f>
        <v>5429723</v>
      </c>
      <c r="H234" s="484">
        <f>H235</f>
        <v>5096823</v>
      </c>
    </row>
    <row r="235" spans="1:8" ht="38.25">
      <c r="A235" s="185" t="s">
        <v>696</v>
      </c>
      <c r="B235" s="185"/>
      <c r="C235" s="182" t="s">
        <v>526</v>
      </c>
      <c r="D235" s="182" t="s">
        <v>504</v>
      </c>
      <c r="E235" s="183" t="s">
        <v>302</v>
      </c>
      <c r="F235" s="182" t="s">
        <v>85</v>
      </c>
      <c r="G235" s="484">
        <f>SUM(G236:G238)</f>
        <v>5429723</v>
      </c>
      <c r="H235" s="484">
        <f>SUM(H236:H238)</f>
        <v>5096823</v>
      </c>
    </row>
    <row r="236" spans="1:8" ht="89.25">
      <c r="A236" s="13" t="s">
        <v>698</v>
      </c>
      <c r="B236" s="13"/>
      <c r="C236" s="182" t="s">
        <v>526</v>
      </c>
      <c r="D236" s="182" t="s">
        <v>504</v>
      </c>
      <c r="E236" s="183" t="s">
        <v>302</v>
      </c>
      <c r="F236" s="182">
        <v>100</v>
      </c>
      <c r="G236" s="485">
        <v>5205523</v>
      </c>
      <c r="H236" s="485">
        <v>4886368</v>
      </c>
    </row>
    <row r="237" spans="1:8" ht="38.25">
      <c r="A237" s="13" t="s">
        <v>212</v>
      </c>
      <c r="B237" s="13"/>
      <c r="C237" s="182" t="s">
        <v>526</v>
      </c>
      <c r="D237" s="182" t="s">
        <v>504</v>
      </c>
      <c r="E237" s="183" t="s">
        <v>302</v>
      </c>
      <c r="F237" s="182">
        <v>200</v>
      </c>
      <c r="G237" s="485">
        <v>191304</v>
      </c>
      <c r="H237" s="485">
        <v>179576</v>
      </c>
    </row>
    <row r="238" spans="1:8" ht="12.75">
      <c r="A238" s="13" t="s">
        <v>75</v>
      </c>
      <c r="B238" s="13"/>
      <c r="C238" s="182" t="s">
        <v>526</v>
      </c>
      <c r="D238" s="182" t="s">
        <v>504</v>
      </c>
      <c r="E238" s="183" t="s">
        <v>302</v>
      </c>
      <c r="F238" s="182">
        <v>800</v>
      </c>
      <c r="G238" s="485">
        <v>32896</v>
      </c>
      <c r="H238" s="485">
        <v>30879</v>
      </c>
    </row>
    <row r="239" spans="1:8" ht="51">
      <c r="A239" s="12" t="s">
        <v>560</v>
      </c>
      <c r="B239" s="12"/>
      <c r="C239" s="182" t="s">
        <v>526</v>
      </c>
      <c r="D239" s="182" t="s">
        <v>504</v>
      </c>
      <c r="E239" s="183" t="s">
        <v>303</v>
      </c>
      <c r="F239" s="185"/>
      <c r="G239" s="484">
        <f>G240</f>
        <v>23121106</v>
      </c>
      <c r="H239" s="484">
        <f>H240</f>
        <v>21712921</v>
      </c>
    </row>
    <row r="240" spans="1:8" ht="63.75">
      <c r="A240" s="29" t="s">
        <v>608</v>
      </c>
      <c r="B240" s="29"/>
      <c r="C240" s="182" t="s">
        <v>526</v>
      </c>
      <c r="D240" s="182" t="s">
        <v>504</v>
      </c>
      <c r="E240" s="183" t="s">
        <v>304</v>
      </c>
      <c r="F240" s="185"/>
      <c r="G240" s="484">
        <f>G241+G243</f>
        <v>23121106</v>
      </c>
      <c r="H240" s="484">
        <f>H241+H243</f>
        <v>21712921</v>
      </c>
    </row>
    <row r="241" spans="1:8" ht="38.25">
      <c r="A241" s="185" t="s">
        <v>696</v>
      </c>
      <c r="B241" s="185"/>
      <c r="C241" s="182" t="s">
        <v>526</v>
      </c>
      <c r="D241" s="182" t="s">
        <v>504</v>
      </c>
      <c r="E241" s="183" t="s">
        <v>305</v>
      </c>
      <c r="F241" s="185"/>
      <c r="G241" s="484">
        <f>G242</f>
        <v>23031106</v>
      </c>
      <c r="H241" s="484">
        <f>H242</f>
        <v>21619052</v>
      </c>
    </row>
    <row r="242" spans="1:8" ht="51">
      <c r="A242" s="13" t="s">
        <v>88</v>
      </c>
      <c r="B242" s="13"/>
      <c r="C242" s="182" t="s">
        <v>526</v>
      </c>
      <c r="D242" s="182" t="s">
        <v>504</v>
      </c>
      <c r="E242" s="183" t="s">
        <v>305</v>
      </c>
      <c r="F242" s="185">
        <v>600</v>
      </c>
      <c r="G242" s="485">
        <v>23031106</v>
      </c>
      <c r="H242" s="485">
        <v>21619052</v>
      </c>
    </row>
    <row r="243" spans="1:8" ht="36">
      <c r="A243" s="30" t="s">
        <v>275</v>
      </c>
      <c r="B243" s="30"/>
      <c r="C243" s="210" t="s">
        <v>526</v>
      </c>
      <c r="D243" s="182" t="s">
        <v>504</v>
      </c>
      <c r="E243" s="183" t="s">
        <v>254</v>
      </c>
      <c r="F243" s="185"/>
      <c r="G243" s="484">
        <f>G244</f>
        <v>90000</v>
      </c>
      <c r="H243" s="484">
        <f>H244</f>
        <v>93869</v>
      </c>
    </row>
    <row r="244" spans="1:8" ht="38.25">
      <c r="A244" s="180" t="s">
        <v>89</v>
      </c>
      <c r="B244" s="180"/>
      <c r="C244" s="209" t="s">
        <v>526</v>
      </c>
      <c r="D244" s="178" t="s">
        <v>504</v>
      </c>
      <c r="E244" s="179" t="s">
        <v>254</v>
      </c>
      <c r="F244" s="204">
        <v>200</v>
      </c>
      <c r="G244" s="489">
        <v>90000</v>
      </c>
      <c r="H244" s="489">
        <v>93869</v>
      </c>
    </row>
    <row r="245" spans="1:8" ht="12.75">
      <c r="A245" s="191" t="s">
        <v>41</v>
      </c>
      <c r="B245" s="191"/>
      <c r="C245" s="203" t="s">
        <v>100</v>
      </c>
      <c r="D245" s="160" t="s">
        <v>436</v>
      </c>
      <c r="E245" s="189"/>
      <c r="F245" s="188"/>
      <c r="G245" s="483">
        <f aca="true" t="shared" si="17" ref="G245:H249">G246</f>
        <v>1084220</v>
      </c>
      <c r="H245" s="483">
        <f t="shared" si="17"/>
        <v>1084220</v>
      </c>
    </row>
    <row r="246" spans="1:8" ht="25.5">
      <c r="A246" s="13" t="s">
        <v>42</v>
      </c>
      <c r="B246" s="13"/>
      <c r="C246" s="210" t="s">
        <v>100</v>
      </c>
      <c r="D246" s="210" t="s">
        <v>621</v>
      </c>
      <c r="E246" s="183"/>
      <c r="F246" s="185"/>
      <c r="G246" s="484">
        <f t="shared" si="17"/>
        <v>1084220</v>
      </c>
      <c r="H246" s="484">
        <f t="shared" si="17"/>
        <v>1084220</v>
      </c>
    </row>
    <row r="247" spans="1:8" ht="38.25">
      <c r="A247" s="198" t="s">
        <v>593</v>
      </c>
      <c r="B247" s="198"/>
      <c r="C247" s="210" t="s">
        <v>100</v>
      </c>
      <c r="D247" s="210" t="s">
        <v>621</v>
      </c>
      <c r="E247" s="183" t="s">
        <v>14</v>
      </c>
      <c r="F247" s="185"/>
      <c r="G247" s="484">
        <f t="shared" si="17"/>
        <v>1084220</v>
      </c>
      <c r="H247" s="484">
        <f t="shared" si="17"/>
        <v>1084220</v>
      </c>
    </row>
    <row r="248" spans="1:8" ht="25.5">
      <c r="A248" s="12" t="s">
        <v>603</v>
      </c>
      <c r="B248" s="12"/>
      <c r="C248" s="210" t="s">
        <v>100</v>
      </c>
      <c r="D248" s="210" t="s">
        <v>621</v>
      </c>
      <c r="E248" s="186" t="s">
        <v>16</v>
      </c>
      <c r="F248" s="185"/>
      <c r="G248" s="484">
        <f t="shared" si="17"/>
        <v>1084220</v>
      </c>
      <c r="H248" s="484">
        <f t="shared" si="17"/>
        <v>1084220</v>
      </c>
    </row>
    <row r="249" spans="1:8" ht="51">
      <c r="A249" s="27" t="s">
        <v>731</v>
      </c>
      <c r="B249" s="27"/>
      <c r="C249" s="210" t="s">
        <v>100</v>
      </c>
      <c r="D249" s="210" t="s">
        <v>621</v>
      </c>
      <c r="E249" s="183" t="s">
        <v>43</v>
      </c>
      <c r="F249" s="185"/>
      <c r="G249" s="484">
        <f t="shared" si="17"/>
        <v>1084220</v>
      </c>
      <c r="H249" s="484">
        <f t="shared" si="17"/>
        <v>1084220</v>
      </c>
    </row>
    <row r="250" spans="1:8" ht="46.5" customHeight="1">
      <c r="A250" s="180" t="s">
        <v>89</v>
      </c>
      <c r="B250" s="180"/>
      <c r="C250" s="209" t="s">
        <v>100</v>
      </c>
      <c r="D250" s="209" t="s">
        <v>621</v>
      </c>
      <c r="E250" s="179" t="s">
        <v>43</v>
      </c>
      <c r="F250" s="204">
        <v>200</v>
      </c>
      <c r="G250" s="489">
        <v>1084220</v>
      </c>
      <c r="H250" s="489">
        <v>1084220</v>
      </c>
    </row>
    <row r="251" spans="1:8" ht="12.75">
      <c r="A251" s="161" t="s">
        <v>539</v>
      </c>
      <c r="B251" s="161"/>
      <c r="C251" s="159" t="s">
        <v>527</v>
      </c>
      <c r="D251" s="203" t="s">
        <v>436</v>
      </c>
      <c r="E251" s="159" t="s">
        <v>85</v>
      </c>
      <c r="F251" s="159" t="s">
        <v>85</v>
      </c>
      <c r="G251" s="483">
        <f>G252+G258+G271</f>
        <v>9698890</v>
      </c>
      <c r="H251" s="483">
        <f>H252+H258+H271</f>
        <v>7583618</v>
      </c>
    </row>
    <row r="252" spans="1:8" ht="12.75">
      <c r="A252" s="201" t="s">
        <v>540</v>
      </c>
      <c r="B252" s="201"/>
      <c r="C252" s="200" t="s">
        <v>527</v>
      </c>
      <c r="D252" s="200" t="s">
        <v>99</v>
      </c>
      <c r="E252" s="200" t="s">
        <v>85</v>
      </c>
      <c r="F252" s="200" t="s">
        <v>85</v>
      </c>
      <c r="G252" s="484">
        <f aca="true" t="shared" si="18" ref="G252:H256">G253</f>
        <v>20000</v>
      </c>
      <c r="H252" s="484">
        <f t="shared" si="18"/>
        <v>18774</v>
      </c>
    </row>
    <row r="253" spans="1:8" ht="53.25" customHeight="1">
      <c r="A253" s="198" t="s">
        <v>253</v>
      </c>
      <c r="B253" s="198"/>
      <c r="C253" s="182">
        <v>10</v>
      </c>
      <c r="D253" s="182" t="s">
        <v>99</v>
      </c>
      <c r="E253" s="183" t="s">
        <v>530</v>
      </c>
      <c r="F253" s="182"/>
      <c r="G253" s="484">
        <f t="shared" si="18"/>
        <v>20000</v>
      </c>
      <c r="H253" s="484">
        <f t="shared" si="18"/>
        <v>18774</v>
      </c>
    </row>
    <row r="254" spans="1:8" ht="65.25" customHeight="1">
      <c r="A254" s="12" t="s">
        <v>252</v>
      </c>
      <c r="B254" s="12"/>
      <c r="C254" s="182">
        <v>10</v>
      </c>
      <c r="D254" s="182" t="s">
        <v>99</v>
      </c>
      <c r="E254" s="186" t="s">
        <v>531</v>
      </c>
      <c r="F254" s="182"/>
      <c r="G254" s="484">
        <f t="shared" si="18"/>
        <v>20000</v>
      </c>
      <c r="H254" s="484">
        <f t="shared" si="18"/>
        <v>18774</v>
      </c>
    </row>
    <row r="255" spans="1:8" ht="25.5">
      <c r="A255" s="28" t="s">
        <v>433</v>
      </c>
      <c r="B255" s="28"/>
      <c r="C255" s="182">
        <v>10</v>
      </c>
      <c r="D255" s="182" t="s">
        <v>99</v>
      </c>
      <c r="E255" s="186" t="s">
        <v>288</v>
      </c>
      <c r="F255" s="182"/>
      <c r="G255" s="484">
        <f t="shared" si="18"/>
        <v>20000</v>
      </c>
      <c r="H255" s="484">
        <f t="shared" si="18"/>
        <v>18774</v>
      </c>
    </row>
    <row r="256" spans="1:8" ht="12.75">
      <c r="A256" s="30" t="s">
        <v>258</v>
      </c>
      <c r="B256" s="30"/>
      <c r="C256" s="182">
        <v>10</v>
      </c>
      <c r="D256" s="182" t="s">
        <v>99</v>
      </c>
      <c r="E256" s="183" t="s">
        <v>257</v>
      </c>
      <c r="F256" s="182"/>
      <c r="G256" s="484">
        <f t="shared" si="18"/>
        <v>20000</v>
      </c>
      <c r="H256" s="484">
        <f t="shared" si="18"/>
        <v>18774</v>
      </c>
    </row>
    <row r="257" spans="1:8" ht="25.5">
      <c r="A257" s="13" t="s">
        <v>79</v>
      </c>
      <c r="B257" s="13"/>
      <c r="C257" s="182">
        <v>10</v>
      </c>
      <c r="D257" s="182" t="s">
        <v>99</v>
      </c>
      <c r="E257" s="183" t="s">
        <v>257</v>
      </c>
      <c r="F257" s="182">
        <v>300</v>
      </c>
      <c r="G257" s="485">
        <v>20000</v>
      </c>
      <c r="H257" s="485">
        <v>18774</v>
      </c>
    </row>
    <row r="258" spans="1:8" ht="12.75">
      <c r="A258" s="201" t="s">
        <v>541</v>
      </c>
      <c r="B258" s="201"/>
      <c r="C258" s="200" t="s">
        <v>527</v>
      </c>
      <c r="D258" s="200" t="s">
        <v>507</v>
      </c>
      <c r="E258" s="200" t="s">
        <v>85</v>
      </c>
      <c r="F258" s="200" t="s">
        <v>85</v>
      </c>
      <c r="G258" s="484">
        <f>G265+G259</f>
        <v>9344190</v>
      </c>
      <c r="H258" s="484">
        <f>H265+H259</f>
        <v>7230144</v>
      </c>
    </row>
    <row r="259" spans="1:8" ht="38.25">
      <c r="A259" s="198" t="s">
        <v>157</v>
      </c>
      <c r="B259" s="198"/>
      <c r="C259" s="182" t="s">
        <v>527</v>
      </c>
      <c r="D259" s="182" t="s">
        <v>507</v>
      </c>
      <c r="E259" s="183" t="s">
        <v>207</v>
      </c>
      <c r="F259" s="182"/>
      <c r="G259" s="484">
        <f aca="true" t="shared" si="19" ref="G259:H263">G260</f>
        <v>4228092</v>
      </c>
      <c r="H259" s="484">
        <f t="shared" si="19"/>
        <v>2114046</v>
      </c>
    </row>
    <row r="260" spans="1:8" ht="89.25">
      <c r="A260" s="12" t="s">
        <v>224</v>
      </c>
      <c r="B260" s="12"/>
      <c r="C260" s="182" t="s">
        <v>527</v>
      </c>
      <c r="D260" s="182" t="s">
        <v>507</v>
      </c>
      <c r="E260" s="186" t="s">
        <v>7</v>
      </c>
      <c r="F260" s="185" t="s">
        <v>85</v>
      </c>
      <c r="G260" s="484">
        <f t="shared" si="19"/>
        <v>4228092</v>
      </c>
      <c r="H260" s="484">
        <f t="shared" si="19"/>
        <v>2114046</v>
      </c>
    </row>
    <row r="261" spans="1:8" ht="63.75">
      <c r="A261" s="29" t="s">
        <v>720</v>
      </c>
      <c r="B261" s="29"/>
      <c r="C261" s="182" t="s">
        <v>527</v>
      </c>
      <c r="D261" s="182" t="s">
        <v>507</v>
      </c>
      <c r="E261" s="182" t="s">
        <v>121</v>
      </c>
      <c r="F261" s="182"/>
      <c r="G261" s="484">
        <f t="shared" si="19"/>
        <v>4228092</v>
      </c>
      <c r="H261" s="484">
        <f t="shared" si="19"/>
        <v>2114046</v>
      </c>
    </row>
    <row r="262" spans="1:8" ht="51">
      <c r="A262" s="377" t="s">
        <v>882</v>
      </c>
      <c r="B262" s="13"/>
      <c r="C262" s="182" t="s">
        <v>527</v>
      </c>
      <c r="D262" s="182" t="s">
        <v>507</v>
      </c>
      <c r="E262" s="128" t="s">
        <v>880</v>
      </c>
      <c r="F262" s="127"/>
      <c r="G262" s="485">
        <f t="shared" si="19"/>
        <v>4228092</v>
      </c>
      <c r="H262" s="485">
        <f t="shared" si="19"/>
        <v>2114046</v>
      </c>
    </row>
    <row r="263" spans="1:8" ht="76.5">
      <c r="A263" s="377" t="s">
        <v>862</v>
      </c>
      <c r="B263" s="13"/>
      <c r="C263" s="182" t="s">
        <v>527</v>
      </c>
      <c r="D263" s="182" t="s">
        <v>507</v>
      </c>
      <c r="E263" s="128" t="s">
        <v>867</v>
      </c>
      <c r="F263" s="127"/>
      <c r="G263" s="485">
        <f t="shared" si="19"/>
        <v>4228092</v>
      </c>
      <c r="H263" s="485">
        <f t="shared" si="19"/>
        <v>2114046</v>
      </c>
    </row>
    <row r="264" spans="1:8" ht="38.25">
      <c r="A264" s="377" t="s">
        <v>205</v>
      </c>
      <c r="B264" s="13"/>
      <c r="C264" s="182" t="s">
        <v>527</v>
      </c>
      <c r="D264" s="182" t="s">
        <v>507</v>
      </c>
      <c r="E264" s="128" t="s">
        <v>867</v>
      </c>
      <c r="F264" s="127">
        <v>400</v>
      </c>
      <c r="G264" s="485">
        <v>4228092</v>
      </c>
      <c r="H264" s="485">
        <v>2114046</v>
      </c>
    </row>
    <row r="265" spans="1:8" ht="51">
      <c r="A265" s="198" t="s">
        <v>261</v>
      </c>
      <c r="B265" s="198"/>
      <c r="C265" s="182">
        <v>10</v>
      </c>
      <c r="D265" s="182" t="s">
        <v>507</v>
      </c>
      <c r="E265" s="183" t="s">
        <v>530</v>
      </c>
      <c r="F265" s="182"/>
      <c r="G265" s="484">
        <f aca="true" t="shared" si="20" ref="G265:H267">G266</f>
        <v>5116098</v>
      </c>
      <c r="H265" s="484">
        <f t="shared" si="20"/>
        <v>5116098</v>
      </c>
    </row>
    <row r="266" spans="1:8" ht="63.75">
      <c r="A266" s="12" t="s">
        <v>262</v>
      </c>
      <c r="B266" s="12"/>
      <c r="C266" s="182">
        <v>10</v>
      </c>
      <c r="D266" s="182" t="s">
        <v>507</v>
      </c>
      <c r="E266" s="186" t="s">
        <v>531</v>
      </c>
      <c r="F266" s="182"/>
      <c r="G266" s="484">
        <f t="shared" si="20"/>
        <v>5116098</v>
      </c>
      <c r="H266" s="484">
        <f t="shared" si="20"/>
        <v>5116098</v>
      </c>
    </row>
    <row r="267" spans="1:8" ht="25.5">
      <c r="A267" s="32" t="s">
        <v>431</v>
      </c>
      <c r="B267" s="32"/>
      <c r="C267" s="182">
        <v>10</v>
      </c>
      <c r="D267" s="182" t="s">
        <v>507</v>
      </c>
      <c r="E267" s="186" t="s">
        <v>128</v>
      </c>
      <c r="F267" s="182"/>
      <c r="G267" s="484">
        <f t="shared" si="20"/>
        <v>5116098</v>
      </c>
      <c r="H267" s="484">
        <f t="shared" si="20"/>
        <v>5116098</v>
      </c>
    </row>
    <row r="268" spans="1:8" ht="25.5">
      <c r="A268" s="13" t="s">
        <v>307</v>
      </c>
      <c r="B268" s="13"/>
      <c r="C268" s="182">
        <v>10</v>
      </c>
      <c r="D268" s="182" t="s">
        <v>507</v>
      </c>
      <c r="E268" s="183" t="s">
        <v>227</v>
      </c>
      <c r="F268" s="182"/>
      <c r="G268" s="484">
        <f>SUM(G269:G270)</f>
        <v>5116098</v>
      </c>
      <c r="H268" s="484">
        <f>SUM(H269:H270)</f>
        <v>5116098</v>
      </c>
    </row>
    <row r="269" spans="1:8" ht="38.25">
      <c r="A269" s="13" t="s">
        <v>212</v>
      </c>
      <c r="B269" s="13"/>
      <c r="C269" s="182">
        <v>10</v>
      </c>
      <c r="D269" s="182" t="s">
        <v>507</v>
      </c>
      <c r="E269" s="183" t="s">
        <v>227</v>
      </c>
      <c r="F269" s="182">
        <v>200</v>
      </c>
      <c r="G269" s="485">
        <v>20382</v>
      </c>
      <c r="H269" s="485">
        <v>20382</v>
      </c>
    </row>
    <row r="270" spans="1:8" ht="25.5">
      <c r="A270" s="180" t="s">
        <v>79</v>
      </c>
      <c r="B270" s="180"/>
      <c r="C270" s="178">
        <v>10</v>
      </c>
      <c r="D270" s="178" t="s">
        <v>507</v>
      </c>
      <c r="E270" s="179" t="s">
        <v>227</v>
      </c>
      <c r="F270" s="178">
        <v>300</v>
      </c>
      <c r="G270" s="489">
        <v>5095716</v>
      </c>
      <c r="H270" s="489">
        <v>5095716</v>
      </c>
    </row>
    <row r="271" spans="1:8" ht="25.5">
      <c r="A271" s="201" t="s">
        <v>546</v>
      </c>
      <c r="B271" s="201"/>
      <c r="C271" s="200" t="s">
        <v>527</v>
      </c>
      <c r="D271" s="200" t="s">
        <v>508</v>
      </c>
      <c r="E271" s="200" t="s">
        <v>85</v>
      </c>
      <c r="F271" s="119"/>
      <c r="G271" s="490">
        <f aca="true" t="shared" si="21" ref="G271:H274">G272</f>
        <v>334700</v>
      </c>
      <c r="H271" s="490">
        <f t="shared" si="21"/>
        <v>334700</v>
      </c>
    </row>
    <row r="272" spans="1:8" ht="76.5">
      <c r="A272" s="198" t="s">
        <v>280</v>
      </c>
      <c r="B272" s="198"/>
      <c r="C272" s="182" t="s">
        <v>527</v>
      </c>
      <c r="D272" s="182" t="s">
        <v>508</v>
      </c>
      <c r="E272" s="183" t="s">
        <v>12</v>
      </c>
      <c r="F272" s="182"/>
      <c r="G272" s="484">
        <f t="shared" si="21"/>
        <v>334700</v>
      </c>
      <c r="H272" s="484">
        <f t="shared" si="21"/>
        <v>334700</v>
      </c>
    </row>
    <row r="273" spans="1:8" ht="114.75">
      <c r="A273" s="12" t="s">
        <v>281</v>
      </c>
      <c r="B273" s="12"/>
      <c r="C273" s="182" t="s">
        <v>527</v>
      </c>
      <c r="D273" s="182" t="s">
        <v>508</v>
      </c>
      <c r="E273" s="186" t="s">
        <v>13</v>
      </c>
      <c r="F273" s="182"/>
      <c r="G273" s="484">
        <f t="shared" si="21"/>
        <v>334700</v>
      </c>
      <c r="H273" s="484">
        <f t="shared" si="21"/>
        <v>334700</v>
      </c>
    </row>
    <row r="274" spans="1:8" ht="51">
      <c r="A274" s="13" t="s">
        <v>270</v>
      </c>
      <c r="B274" s="13"/>
      <c r="C274" s="182" t="s">
        <v>527</v>
      </c>
      <c r="D274" s="182" t="s">
        <v>508</v>
      </c>
      <c r="E274" s="182" t="s">
        <v>259</v>
      </c>
      <c r="F274" s="182"/>
      <c r="G274" s="484">
        <f t="shared" si="21"/>
        <v>334700</v>
      </c>
      <c r="H274" s="484">
        <f t="shared" si="21"/>
        <v>334700</v>
      </c>
    </row>
    <row r="275" spans="1:8" ht="76.5">
      <c r="A275" s="13" t="s">
        <v>106</v>
      </c>
      <c r="B275" s="13"/>
      <c r="C275" s="182" t="s">
        <v>527</v>
      </c>
      <c r="D275" s="182" t="s">
        <v>508</v>
      </c>
      <c r="E275" s="182" t="s">
        <v>271</v>
      </c>
      <c r="F275" s="182"/>
      <c r="G275" s="484">
        <f>SUM(G276:G276)</f>
        <v>334700</v>
      </c>
      <c r="H275" s="484">
        <f>SUM(H276:H276)</f>
        <v>334700</v>
      </c>
    </row>
    <row r="276" spans="1:8" ht="89.25">
      <c r="A276" s="13" t="s">
        <v>698</v>
      </c>
      <c r="B276" s="13"/>
      <c r="C276" s="182" t="s">
        <v>527</v>
      </c>
      <c r="D276" s="182" t="s">
        <v>508</v>
      </c>
      <c r="E276" s="182" t="s">
        <v>271</v>
      </c>
      <c r="F276" s="182">
        <v>100</v>
      </c>
      <c r="G276" s="485">
        <v>334700</v>
      </c>
      <c r="H276" s="485">
        <v>334700</v>
      </c>
    </row>
    <row r="277" spans="1:8" ht="12.75">
      <c r="A277" s="161" t="s">
        <v>226</v>
      </c>
      <c r="B277" s="161"/>
      <c r="C277" s="159" t="s">
        <v>510</v>
      </c>
      <c r="D277" s="203" t="s">
        <v>436</v>
      </c>
      <c r="E277" s="159" t="s">
        <v>85</v>
      </c>
      <c r="F277" s="159" t="s">
        <v>85</v>
      </c>
      <c r="G277" s="491">
        <f>G278</f>
        <v>50000</v>
      </c>
      <c r="H277" s="491">
        <f>H278</f>
        <v>46935</v>
      </c>
    </row>
    <row r="278" spans="1:8" ht="12.75">
      <c r="A278" s="201" t="s">
        <v>414</v>
      </c>
      <c r="B278" s="201"/>
      <c r="C278" s="200" t="s">
        <v>510</v>
      </c>
      <c r="D278" s="200" t="s">
        <v>506</v>
      </c>
      <c r="E278" s="200" t="s">
        <v>85</v>
      </c>
      <c r="F278" s="200" t="s">
        <v>85</v>
      </c>
      <c r="G278" s="484">
        <f>G284</f>
        <v>50000</v>
      </c>
      <c r="H278" s="484">
        <f>H284</f>
        <v>46935</v>
      </c>
    </row>
    <row r="279" spans="1:8" ht="81.75" customHeight="1" hidden="1">
      <c r="A279" s="198" t="s">
        <v>453</v>
      </c>
      <c r="B279" s="198"/>
      <c r="C279" s="182">
        <v>11</v>
      </c>
      <c r="D279" s="210" t="s">
        <v>506</v>
      </c>
      <c r="E279" s="183" t="s">
        <v>32</v>
      </c>
      <c r="F279" s="200"/>
      <c r="G279" s="484">
        <f aca="true" t="shared" si="22" ref="G279:H282">G280</f>
        <v>0</v>
      </c>
      <c r="H279" s="484">
        <f t="shared" si="22"/>
        <v>0</v>
      </c>
    </row>
    <row r="280" spans="1:8" ht="127.5" hidden="1">
      <c r="A280" s="12" t="s">
        <v>199</v>
      </c>
      <c r="B280" s="12"/>
      <c r="C280" s="182">
        <v>11</v>
      </c>
      <c r="D280" s="210" t="s">
        <v>506</v>
      </c>
      <c r="E280" s="186" t="s">
        <v>200</v>
      </c>
      <c r="F280" s="200"/>
      <c r="G280" s="484">
        <f t="shared" si="22"/>
        <v>0</v>
      </c>
      <c r="H280" s="484">
        <f t="shared" si="22"/>
        <v>0</v>
      </c>
    </row>
    <row r="281" spans="1:8" ht="51" hidden="1">
      <c r="A281" s="185" t="s">
        <v>201</v>
      </c>
      <c r="B281" s="185"/>
      <c r="C281" s="182">
        <v>11</v>
      </c>
      <c r="D281" s="210" t="s">
        <v>506</v>
      </c>
      <c r="E281" s="183" t="s">
        <v>202</v>
      </c>
      <c r="F281" s="200"/>
      <c r="G281" s="484">
        <f t="shared" si="22"/>
        <v>0</v>
      </c>
      <c r="H281" s="484">
        <f t="shared" si="22"/>
        <v>0</v>
      </c>
    </row>
    <row r="282" spans="1:8" ht="63.75" hidden="1">
      <c r="A282" s="298" t="s">
        <v>203</v>
      </c>
      <c r="B282" s="298"/>
      <c r="C282" s="182">
        <v>11</v>
      </c>
      <c r="D282" s="210" t="s">
        <v>506</v>
      </c>
      <c r="E282" s="183" t="s">
        <v>204</v>
      </c>
      <c r="F282" s="200"/>
      <c r="G282" s="484">
        <f t="shared" si="22"/>
        <v>0</v>
      </c>
      <c r="H282" s="484">
        <f t="shared" si="22"/>
        <v>0</v>
      </c>
    </row>
    <row r="283" spans="1:8" ht="38.25" hidden="1">
      <c r="A283" s="13" t="s">
        <v>205</v>
      </c>
      <c r="B283" s="13"/>
      <c r="C283" s="182">
        <v>11</v>
      </c>
      <c r="D283" s="210" t="s">
        <v>506</v>
      </c>
      <c r="E283" s="183" t="s">
        <v>204</v>
      </c>
      <c r="F283" s="200">
        <v>400</v>
      </c>
      <c r="G283" s="485"/>
      <c r="H283" s="485"/>
    </row>
    <row r="284" spans="1:8" ht="89.25">
      <c r="A284" s="198" t="s">
        <v>413</v>
      </c>
      <c r="B284" s="198"/>
      <c r="C284" s="182" t="s">
        <v>510</v>
      </c>
      <c r="D284" s="182" t="s">
        <v>506</v>
      </c>
      <c r="E284" s="183" t="s">
        <v>412</v>
      </c>
      <c r="F284" s="196" t="s">
        <v>85</v>
      </c>
      <c r="G284" s="484">
        <f aca="true" t="shared" si="23" ref="G284:H287">G285</f>
        <v>50000</v>
      </c>
      <c r="H284" s="484">
        <f t="shared" si="23"/>
        <v>46935</v>
      </c>
    </row>
    <row r="285" spans="1:8" ht="114.75">
      <c r="A285" s="12" t="s">
        <v>411</v>
      </c>
      <c r="B285" s="12"/>
      <c r="C285" s="182" t="s">
        <v>510</v>
      </c>
      <c r="D285" s="182" t="s">
        <v>506</v>
      </c>
      <c r="E285" s="183" t="s">
        <v>232</v>
      </c>
      <c r="F285" s="197" t="s">
        <v>85</v>
      </c>
      <c r="G285" s="484">
        <f t="shared" si="23"/>
        <v>50000</v>
      </c>
      <c r="H285" s="484">
        <f t="shared" si="23"/>
        <v>46935</v>
      </c>
    </row>
    <row r="286" spans="1:8" ht="89.25">
      <c r="A286" s="33" t="s">
        <v>231</v>
      </c>
      <c r="B286" s="33"/>
      <c r="C286" s="182" t="s">
        <v>510</v>
      </c>
      <c r="D286" s="182" t="s">
        <v>506</v>
      </c>
      <c r="E286" s="183" t="s">
        <v>230</v>
      </c>
      <c r="F286" s="197"/>
      <c r="G286" s="484">
        <f t="shared" si="23"/>
        <v>50000</v>
      </c>
      <c r="H286" s="484">
        <f t="shared" si="23"/>
        <v>46935</v>
      </c>
    </row>
    <row r="287" spans="1:8" ht="76.5">
      <c r="A287" s="33" t="s">
        <v>229</v>
      </c>
      <c r="B287" s="33"/>
      <c r="C287" s="182" t="s">
        <v>510</v>
      </c>
      <c r="D287" s="182" t="s">
        <v>506</v>
      </c>
      <c r="E287" s="183" t="s">
        <v>228</v>
      </c>
      <c r="F287" s="197"/>
      <c r="G287" s="484">
        <f t="shared" si="23"/>
        <v>50000</v>
      </c>
      <c r="H287" s="484">
        <f t="shared" si="23"/>
        <v>46935</v>
      </c>
    </row>
    <row r="288" spans="1:8" ht="38.25">
      <c r="A288" s="180" t="s">
        <v>212</v>
      </c>
      <c r="B288" s="180"/>
      <c r="C288" s="178" t="s">
        <v>510</v>
      </c>
      <c r="D288" s="178" t="s">
        <v>506</v>
      </c>
      <c r="E288" s="179" t="s">
        <v>228</v>
      </c>
      <c r="F288" s="204">
        <v>200</v>
      </c>
      <c r="G288" s="489">
        <v>50000</v>
      </c>
      <c r="H288" s="489">
        <v>46935</v>
      </c>
    </row>
    <row r="289" spans="1:8" ht="38.25">
      <c r="A289" s="191" t="s">
        <v>437</v>
      </c>
      <c r="B289" s="203" t="s">
        <v>309</v>
      </c>
      <c r="C289" s="190"/>
      <c r="D289" s="190"/>
      <c r="E289" s="189"/>
      <c r="F289" s="188"/>
      <c r="G289" s="483">
        <f>G290+G299+G307+G316+G365</f>
        <v>71204271</v>
      </c>
      <c r="H289" s="483">
        <f>H290+H299+H307+H316+H365</f>
        <v>73912271</v>
      </c>
    </row>
    <row r="290" spans="1:8" ht="12.75">
      <c r="A290" s="161" t="s">
        <v>566</v>
      </c>
      <c r="B290" s="159"/>
      <c r="C290" s="159" t="s">
        <v>504</v>
      </c>
      <c r="D290" s="203" t="s">
        <v>436</v>
      </c>
      <c r="E290" s="159" t="s">
        <v>85</v>
      </c>
      <c r="F290" s="159" t="s">
        <v>85</v>
      </c>
      <c r="G290" s="483">
        <f>G291</f>
        <v>4221347</v>
      </c>
      <c r="H290" s="483">
        <f>H291</f>
        <v>3962533</v>
      </c>
    </row>
    <row r="291" spans="1:8" ht="63.75">
      <c r="A291" s="201" t="s">
        <v>329</v>
      </c>
      <c r="B291" s="200"/>
      <c r="C291" s="200" t="s">
        <v>504</v>
      </c>
      <c r="D291" s="200" t="s">
        <v>508</v>
      </c>
      <c r="E291" s="200" t="s">
        <v>85</v>
      </c>
      <c r="F291" s="200" t="s">
        <v>85</v>
      </c>
      <c r="G291" s="484">
        <f aca="true" t="shared" si="24" ref="G291:H294">G292</f>
        <v>4221347</v>
      </c>
      <c r="H291" s="484">
        <f t="shared" si="24"/>
        <v>3962533</v>
      </c>
    </row>
    <row r="292" spans="1:8" ht="38.25">
      <c r="A292" s="198" t="s">
        <v>166</v>
      </c>
      <c r="B292" s="198"/>
      <c r="C292" s="182" t="s">
        <v>504</v>
      </c>
      <c r="D292" s="182" t="s">
        <v>508</v>
      </c>
      <c r="E292" s="182" t="s">
        <v>656</v>
      </c>
      <c r="F292" s="182" t="s">
        <v>85</v>
      </c>
      <c r="G292" s="484">
        <f t="shared" si="24"/>
        <v>4221347</v>
      </c>
      <c r="H292" s="484">
        <f t="shared" si="24"/>
        <v>3962533</v>
      </c>
    </row>
    <row r="293" spans="1:8" ht="76.5">
      <c r="A293" s="12" t="s">
        <v>168</v>
      </c>
      <c r="B293" s="12"/>
      <c r="C293" s="182" t="s">
        <v>504</v>
      </c>
      <c r="D293" s="182" t="s">
        <v>508</v>
      </c>
      <c r="E293" s="182" t="s">
        <v>657</v>
      </c>
      <c r="F293" s="185" t="s">
        <v>85</v>
      </c>
      <c r="G293" s="484">
        <f t="shared" si="24"/>
        <v>4221347</v>
      </c>
      <c r="H293" s="484">
        <f t="shared" si="24"/>
        <v>3962533</v>
      </c>
    </row>
    <row r="294" spans="1:8" ht="63.75">
      <c r="A294" s="28" t="s">
        <v>567</v>
      </c>
      <c r="B294" s="28"/>
      <c r="C294" s="182" t="s">
        <v>504</v>
      </c>
      <c r="D294" s="182" t="s">
        <v>508</v>
      </c>
      <c r="E294" s="182" t="s">
        <v>296</v>
      </c>
      <c r="F294" s="185"/>
      <c r="G294" s="484">
        <f t="shared" si="24"/>
        <v>4221347</v>
      </c>
      <c r="H294" s="484">
        <f t="shared" si="24"/>
        <v>3962533</v>
      </c>
    </row>
    <row r="295" spans="1:8" ht="38.25">
      <c r="A295" s="185" t="s">
        <v>694</v>
      </c>
      <c r="B295" s="185"/>
      <c r="C295" s="182" t="s">
        <v>504</v>
      </c>
      <c r="D295" s="182" t="s">
        <v>508</v>
      </c>
      <c r="E295" s="182" t="s">
        <v>658</v>
      </c>
      <c r="F295" s="182" t="s">
        <v>85</v>
      </c>
      <c r="G295" s="484">
        <f>SUM(G296:G298)</f>
        <v>4221347</v>
      </c>
      <c r="H295" s="484">
        <f>SUM(H296:H298)</f>
        <v>3962533</v>
      </c>
    </row>
    <row r="296" spans="1:8" ht="89.25">
      <c r="A296" s="13" t="s">
        <v>698</v>
      </c>
      <c r="B296" s="13"/>
      <c r="C296" s="182" t="s">
        <v>504</v>
      </c>
      <c r="D296" s="182" t="s">
        <v>508</v>
      </c>
      <c r="E296" s="182" t="s">
        <v>658</v>
      </c>
      <c r="F296" s="182">
        <v>100</v>
      </c>
      <c r="G296" s="485">
        <v>4151448</v>
      </c>
      <c r="H296" s="485">
        <v>3896920</v>
      </c>
    </row>
    <row r="297" spans="1:8" ht="38.25">
      <c r="A297" s="13" t="s">
        <v>212</v>
      </c>
      <c r="B297" s="13"/>
      <c r="C297" s="182" t="s">
        <v>504</v>
      </c>
      <c r="D297" s="182" t="s">
        <v>508</v>
      </c>
      <c r="E297" s="182" t="s">
        <v>658</v>
      </c>
      <c r="F297" s="182" t="s">
        <v>72</v>
      </c>
      <c r="G297" s="485">
        <v>69899</v>
      </c>
      <c r="H297" s="485">
        <v>65613</v>
      </c>
    </row>
    <row r="298" spans="1:8" ht="12.75" hidden="1">
      <c r="A298" s="13" t="s">
        <v>75</v>
      </c>
      <c r="B298" s="13"/>
      <c r="C298" s="182" t="s">
        <v>504</v>
      </c>
      <c r="D298" s="182" t="s">
        <v>508</v>
      </c>
      <c r="E298" s="182" t="s">
        <v>658</v>
      </c>
      <c r="F298" s="182">
        <v>800</v>
      </c>
      <c r="G298" s="485"/>
      <c r="H298" s="485"/>
    </row>
    <row r="299" spans="1:8" ht="12.75">
      <c r="A299" s="161" t="s">
        <v>686</v>
      </c>
      <c r="B299" s="161"/>
      <c r="C299" s="159" t="s">
        <v>507</v>
      </c>
      <c r="D299" s="203" t="s">
        <v>436</v>
      </c>
      <c r="E299" s="159" t="s">
        <v>85</v>
      </c>
      <c r="F299" s="159" t="s">
        <v>85</v>
      </c>
      <c r="G299" s="483">
        <f>G300</f>
        <v>334700</v>
      </c>
      <c r="H299" s="483">
        <f>H300</f>
        <v>334700</v>
      </c>
    </row>
    <row r="300" spans="1:8" ht="12.75">
      <c r="A300" s="201" t="s">
        <v>687</v>
      </c>
      <c r="B300" s="201"/>
      <c r="C300" s="200" t="s">
        <v>507</v>
      </c>
      <c r="D300" s="200" t="s">
        <v>504</v>
      </c>
      <c r="E300" s="200" t="s">
        <v>85</v>
      </c>
      <c r="F300" s="200" t="s">
        <v>85</v>
      </c>
      <c r="G300" s="484">
        <f aca="true" t="shared" si="25" ref="G300:H303">G301</f>
        <v>334700</v>
      </c>
      <c r="H300" s="484">
        <f t="shared" si="25"/>
        <v>334700</v>
      </c>
    </row>
    <row r="301" spans="1:8" ht="51">
      <c r="A301" s="198" t="s">
        <v>665</v>
      </c>
      <c r="B301" s="198"/>
      <c r="C301" s="182" t="s">
        <v>507</v>
      </c>
      <c r="D301" s="182" t="s">
        <v>504</v>
      </c>
      <c r="E301" s="183" t="s">
        <v>21</v>
      </c>
      <c r="F301" s="182" t="s">
        <v>85</v>
      </c>
      <c r="G301" s="484">
        <f t="shared" si="25"/>
        <v>334700</v>
      </c>
      <c r="H301" s="484">
        <f t="shared" si="25"/>
        <v>334700</v>
      </c>
    </row>
    <row r="302" spans="1:8" ht="63.75">
      <c r="A302" s="12" t="s">
        <v>558</v>
      </c>
      <c r="B302" s="12"/>
      <c r="C302" s="182" t="s">
        <v>507</v>
      </c>
      <c r="D302" s="182" t="s">
        <v>504</v>
      </c>
      <c r="E302" s="183" t="s">
        <v>26</v>
      </c>
      <c r="F302" s="182"/>
      <c r="G302" s="484">
        <f t="shared" si="25"/>
        <v>334700</v>
      </c>
      <c r="H302" s="484">
        <f t="shared" si="25"/>
        <v>334700</v>
      </c>
    </row>
    <row r="303" spans="1:8" ht="63.75">
      <c r="A303" s="28" t="s">
        <v>427</v>
      </c>
      <c r="B303" s="28"/>
      <c r="C303" s="182" t="s">
        <v>507</v>
      </c>
      <c r="D303" s="182" t="s">
        <v>504</v>
      </c>
      <c r="E303" s="183" t="s">
        <v>27</v>
      </c>
      <c r="F303" s="182"/>
      <c r="G303" s="484">
        <f t="shared" si="25"/>
        <v>334700</v>
      </c>
      <c r="H303" s="484">
        <f t="shared" si="25"/>
        <v>334700</v>
      </c>
    </row>
    <row r="304" spans="1:8" ht="38.25">
      <c r="A304" s="185" t="s">
        <v>444</v>
      </c>
      <c r="B304" s="185"/>
      <c r="C304" s="182" t="s">
        <v>507</v>
      </c>
      <c r="D304" s="182" t="s">
        <v>504</v>
      </c>
      <c r="E304" s="183" t="s">
        <v>28</v>
      </c>
      <c r="F304" s="196" t="s">
        <v>85</v>
      </c>
      <c r="G304" s="484">
        <f>SUM(G305:G306)</f>
        <v>334700</v>
      </c>
      <c r="H304" s="484">
        <f>SUM(H305:H306)</f>
        <v>334700</v>
      </c>
    </row>
    <row r="305" spans="1:8" ht="89.25">
      <c r="A305" s="185" t="s">
        <v>698</v>
      </c>
      <c r="B305" s="185"/>
      <c r="C305" s="182" t="s">
        <v>507</v>
      </c>
      <c r="D305" s="182" t="s">
        <v>504</v>
      </c>
      <c r="E305" s="183" t="s">
        <v>28</v>
      </c>
      <c r="F305" s="127">
        <v>100</v>
      </c>
      <c r="G305" s="485">
        <v>331700</v>
      </c>
      <c r="H305" s="485">
        <v>331700</v>
      </c>
    </row>
    <row r="306" spans="1:8" ht="38.25">
      <c r="A306" s="185" t="s">
        <v>212</v>
      </c>
      <c r="B306" s="185"/>
      <c r="C306" s="182" t="s">
        <v>507</v>
      </c>
      <c r="D306" s="182" t="s">
        <v>504</v>
      </c>
      <c r="E306" s="183" t="s">
        <v>28</v>
      </c>
      <c r="F306" s="127">
        <v>200</v>
      </c>
      <c r="G306" s="485">
        <v>3000</v>
      </c>
      <c r="H306" s="485">
        <v>3000</v>
      </c>
    </row>
    <row r="307" spans="1:8" ht="12.75">
      <c r="A307" s="161" t="s">
        <v>534</v>
      </c>
      <c r="B307" s="161"/>
      <c r="C307" s="159" t="s">
        <v>621</v>
      </c>
      <c r="D307" s="203" t="s">
        <v>436</v>
      </c>
      <c r="E307" s="159" t="s">
        <v>85</v>
      </c>
      <c r="F307" s="159" t="s">
        <v>85</v>
      </c>
      <c r="G307" s="483">
        <f aca="true" t="shared" si="26" ref="G307:H311">G308</f>
        <v>1374762</v>
      </c>
      <c r="H307" s="483">
        <f t="shared" si="26"/>
        <v>1290474</v>
      </c>
    </row>
    <row r="308" spans="1:8" ht="25.5">
      <c r="A308" s="201" t="s">
        <v>537</v>
      </c>
      <c r="B308" s="201"/>
      <c r="C308" s="200" t="s">
        <v>621</v>
      </c>
      <c r="D308" s="200" t="s">
        <v>100</v>
      </c>
      <c r="E308" s="200" t="s">
        <v>85</v>
      </c>
      <c r="F308" s="200" t="s">
        <v>85</v>
      </c>
      <c r="G308" s="484">
        <f t="shared" si="26"/>
        <v>1374762</v>
      </c>
      <c r="H308" s="484">
        <f t="shared" si="26"/>
        <v>1290474</v>
      </c>
    </row>
    <row r="309" spans="1:8" ht="51">
      <c r="A309" s="198" t="s">
        <v>263</v>
      </c>
      <c r="B309" s="198"/>
      <c r="C309" s="182" t="s">
        <v>621</v>
      </c>
      <c r="D309" s="182" t="s">
        <v>100</v>
      </c>
      <c r="E309" s="183" t="s">
        <v>530</v>
      </c>
      <c r="F309" s="182" t="s">
        <v>85</v>
      </c>
      <c r="G309" s="484">
        <f t="shared" si="26"/>
        <v>1374762</v>
      </c>
      <c r="H309" s="484">
        <f t="shared" si="26"/>
        <v>1290474</v>
      </c>
    </row>
    <row r="310" spans="1:8" ht="76.5">
      <c r="A310" s="12" t="s">
        <v>671</v>
      </c>
      <c r="B310" s="12"/>
      <c r="C310" s="182" t="s">
        <v>621</v>
      </c>
      <c r="D310" s="182" t="s">
        <v>100</v>
      </c>
      <c r="E310" s="183" t="s">
        <v>293</v>
      </c>
      <c r="F310" s="185" t="s">
        <v>85</v>
      </c>
      <c r="G310" s="484">
        <f t="shared" si="26"/>
        <v>1374762</v>
      </c>
      <c r="H310" s="484">
        <f t="shared" si="26"/>
        <v>1290474</v>
      </c>
    </row>
    <row r="311" spans="1:8" ht="63.75">
      <c r="A311" s="185" t="s">
        <v>604</v>
      </c>
      <c r="B311" s="185"/>
      <c r="C311" s="182" t="s">
        <v>621</v>
      </c>
      <c r="D311" s="182" t="s">
        <v>100</v>
      </c>
      <c r="E311" s="183" t="s">
        <v>606</v>
      </c>
      <c r="F311" s="182"/>
      <c r="G311" s="484">
        <f t="shared" si="26"/>
        <v>1374762</v>
      </c>
      <c r="H311" s="484">
        <f t="shared" si="26"/>
        <v>1290474</v>
      </c>
    </row>
    <row r="312" spans="1:8" ht="38.25">
      <c r="A312" s="185" t="s">
        <v>694</v>
      </c>
      <c r="B312" s="185"/>
      <c r="C312" s="182" t="s">
        <v>621</v>
      </c>
      <c r="D312" s="182" t="s">
        <v>100</v>
      </c>
      <c r="E312" s="183" t="s">
        <v>607</v>
      </c>
      <c r="F312" s="182"/>
      <c r="G312" s="484">
        <f>SUM(G313:G315)</f>
        <v>1374762</v>
      </c>
      <c r="H312" s="484">
        <f>SUM(H313:H315)</f>
        <v>1290474</v>
      </c>
    </row>
    <row r="313" spans="1:8" ht="89.25">
      <c r="A313" s="13" t="s">
        <v>698</v>
      </c>
      <c r="B313" s="13"/>
      <c r="C313" s="182" t="s">
        <v>621</v>
      </c>
      <c r="D313" s="182" t="s">
        <v>100</v>
      </c>
      <c r="E313" s="183" t="s">
        <v>607</v>
      </c>
      <c r="F313" s="182" t="s">
        <v>565</v>
      </c>
      <c r="G313" s="485">
        <v>1290762</v>
      </c>
      <c r="H313" s="485">
        <v>1211624</v>
      </c>
    </row>
    <row r="314" spans="1:8" ht="38.25">
      <c r="A314" s="13" t="s">
        <v>212</v>
      </c>
      <c r="B314" s="13"/>
      <c r="C314" s="182" t="s">
        <v>621</v>
      </c>
      <c r="D314" s="182" t="s">
        <v>100</v>
      </c>
      <c r="E314" s="183" t="s">
        <v>607</v>
      </c>
      <c r="F314" s="182" t="s">
        <v>72</v>
      </c>
      <c r="G314" s="485">
        <v>84000</v>
      </c>
      <c r="H314" s="485">
        <v>78850</v>
      </c>
    </row>
    <row r="315" spans="1:8" ht="12.75" hidden="1">
      <c r="A315" s="180" t="s">
        <v>75</v>
      </c>
      <c r="B315" s="180"/>
      <c r="C315" s="178" t="s">
        <v>621</v>
      </c>
      <c r="D315" s="178" t="s">
        <v>100</v>
      </c>
      <c r="E315" s="179" t="s">
        <v>607</v>
      </c>
      <c r="F315" s="178">
        <v>800</v>
      </c>
      <c r="G315" s="489"/>
      <c r="H315" s="489"/>
    </row>
    <row r="316" spans="1:8" ht="12.75">
      <c r="A316" s="161" t="s">
        <v>539</v>
      </c>
      <c r="B316" s="161"/>
      <c r="C316" s="159" t="s">
        <v>527</v>
      </c>
      <c r="D316" s="203" t="s">
        <v>436</v>
      </c>
      <c r="E316" s="159" t="s">
        <v>85</v>
      </c>
      <c r="F316" s="159" t="s">
        <v>85</v>
      </c>
      <c r="G316" s="483">
        <f>G317+G335+G348</f>
        <v>65218462</v>
      </c>
      <c r="H316" s="483">
        <f>H317+H335+H348</f>
        <v>68272936</v>
      </c>
    </row>
    <row r="317" spans="1:8" ht="12.75">
      <c r="A317" s="201" t="s">
        <v>540</v>
      </c>
      <c r="B317" s="201"/>
      <c r="C317" s="200" t="s">
        <v>527</v>
      </c>
      <c r="D317" s="200" t="s">
        <v>99</v>
      </c>
      <c r="E317" s="200" t="s">
        <v>85</v>
      </c>
      <c r="F317" s="200" t="s">
        <v>85</v>
      </c>
      <c r="G317" s="484">
        <f>G318</f>
        <v>7465212</v>
      </c>
      <c r="H317" s="484">
        <f>H318</f>
        <v>7465212</v>
      </c>
    </row>
    <row r="318" spans="1:8" ht="38.25">
      <c r="A318" s="198" t="s">
        <v>157</v>
      </c>
      <c r="B318" s="198"/>
      <c r="C318" s="182" t="s">
        <v>527</v>
      </c>
      <c r="D318" s="182" t="s">
        <v>99</v>
      </c>
      <c r="E318" s="183" t="s">
        <v>207</v>
      </c>
      <c r="F318" s="182" t="s">
        <v>85</v>
      </c>
      <c r="G318" s="484">
        <f>G319</f>
        <v>7465212</v>
      </c>
      <c r="H318" s="484">
        <f>H319</f>
        <v>7465212</v>
      </c>
    </row>
    <row r="319" spans="1:8" ht="63.75">
      <c r="A319" s="12" t="s">
        <v>158</v>
      </c>
      <c r="B319" s="12"/>
      <c r="C319" s="182" t="s">
        <v>527</v>
      </c>
      <c r="D319" s="182" t="s">
        <v>99</v>
      </c>
      <c r="E319" s="186" t="s">
        <v>114</v>
      </c>
      <c r="F319" s="185" t="s">
        <v>85</v>
      </c>
      <c r="G319" s="484">
        <f>G320+G327+G331</f>
        <v>7465212</v>
      </c>
      <c r="H319" s="484">
        <f>H320+H327+H331</f>
        <v>7465212</v>
      </c>
    </row>
    <row r="320" spans="1:8" ht="38.25">
      <c r="A320" s="29" t="s">
        <v>609</v>
      </c>
      <c r="B320" s="29"/>
      <c r="C320" s="182" t="s">
        <v>527</v>
      </c>
      <c r="D320" s="182" t="s">
        <v>99</v>
      </c>
      <c r="E320" s="186" t="s">
        <v>123</v>
      </c>
      <c r="F320" s="182"/>
      <c r="G320" s="484">
        <f>G321+G324</f>
        <v>7074641</v>
      </c>
      <c r="H320" s="484">
        <f>H321+H324</f>
        <v>7074641</v>
      </c>
    </row>
    <row r="321" spans="1:8" ht="25.5">
      <c r="A321" s="185" t="s">
        <v>562</v>
      </c>
      <c r="B321" s="185"/>
      <c r="C321" s="182" t="s">
        <v>527</v>
      </c>
      <c r="D321" s="182" t="s">
        <v>99</v>
      </c>
      <c r="E321" s="183" t="s">
        <v>610</v>
      </c>
      <c r="F321" s="182" t="s">
        <v>85</v>
      </c>
      <c r="G321" s="484">
        <f>SUM(G322:G323)</f>
        <v>6592141</v>
      </c>
      <c r="H321" s="484">
        <f>SUM(H322:H323)</f>
        <v>6592141</v>
      </c>
    </row>
    <row r="322" spans="1:8" ht="38.25">
      <c r="A322" s="13" t="s">
        <v>212</v>
      </c>
      <c r="B322" s="13"/>
      <c r="C322" s="182" t="s">
        <v>527</v>
      </c>
      <c r="D322" s="182" t="s">
        <v>99</v>
      </c>
      <c r="E322" s="183" t="s">
        <v>610</v>
      </c>
      <c r="F322" s="182">
        <v>200</v>
      </c>
      <c r="G322" s="485">
        <v>71000</v>
      </c>
      <c r="H322" s="485">
        <v>71000</v>
      </c>
    </row>
    <row r="323" spans="1:8" ht="25.5">
      <c r="A323" s="13" t="s">
        <v>79</v>
      </c>
      <c r="B323" s="13"/>
      <c r="C323" s="182" t="s">
        <v>527</v>
      </c>
      <c r="D323" s="182" t="s">
        <v>99</v>
      </c>
      <c r="E323" s="183" t="s">
        <v>610</v>
      </c>
      <c r="F323" s="182">
        <v>300</v>
      </c>
      <c r="G323" s="485">
        <v>6521141</v>
      </c>
      <c r="H323" s="485">
        <v>6521141</v>
      </c>
    </row>
    <row r="324" spans="1:8" ht="25.5">
      <c r="A324" s="185" t="s">
        <v>563</v>
      </c>
      <c r="B324" s="185"/>
      <c r="C324" s="182" t="s">
        <v>527</v>
      </c>
      <c r="D324" s="182" t="s">
        <v>99</v>
      </c>
      <c r="E324" s="183" t="s">
        <v>611</v>
      </c>
      <c r="F324" s="182" t="s">
        <v>85</v>
      </c>
      <c r="G324" s="484">
        <f>SUM(G325:G326)</f>
        <v>482500</v>
      </c>
      <c r="H324" s="484">
        <f>SUM(H325:H326)</f>
        <v>482500</v>
      </c>
    </row>
    <row r="325" spans="1:8" ht="38.25">
      <c r="A325" s="13" t="s">
        <v>212</v>
      </c>
      <c r="B325" s="13"/>
      <c r="C325" s="182" t="s">
        <v>527</v>
      </c>
      <c r="D325" s="182" t="s">
        <v>99</v>
      </c>
      <c r="E325" s="183" t="s">
        <v>611</v>
      </c>
      <c r="F325" s="182">
        <v>200</v>
      </c>
      <c r="G325" s="485">
        <v>9500</v>
      </c>
      <c r="H325" s="485">
        <v>9500</v>
      </c>
    </row>
    <row r="326" spans="1:8" ht="25.5">
      <c r="A326" s="13" t="s">
        <v>79</v>
      </c>
      <c r="B326" s="13"/>
      <c r="C326" s="182" t="s">
        <v>527</v>
      </c>
      <c r="D326" s="182" t="s">
        <v>99</v>
      </c>
      <c r="E326" s="183" t="s">
        <v>611</v>
      </c>
      <c r="F326" s="182" t="s">
        <v>78</v>
      </c>
      <c r="G326" s="485">
        <v>473000</v>
      </c>
      <c r="H326" s="485">
        <v>473000</v>
      </c>
    </row>
    <row r="327" spans="1:8" ht="38.25">
      <c r="A327" s="28" t="s">
        <v>120</v>
      </c>
      <c r="B327" s="28"/>
      <c r="C327" s="200" t="s">
        <v>527</v>
      </c>
      <c r="D327" s="200" t="s">
        <v>99</v>
      </c>
      <c r="E327" s="186" t="s">
        <v>124</v>
      </c>
      <c r="F327" s="200"/>
      <c r="G327" s="484">
        <f>G328</f>
        <v>125083</v>
      </c>
      <c r="H327" s="484">
        <f>H328</f>
        <v>125083</v>
      </c>
    </row>
    <row r="328" spans="1:8" ht="51">
      <c r="A328" s="185" t="s">
        <v>246</v>
      </c>
      <c r="B328" s="185"/>
      <c r="C328" s="182" t="s">
        <v>527</v>
      </c>
      <c r="D328" s="182" t="s">
        <v>99</v>
      </c>
      <c r="E328" s="183" t="s">
        <v>125</v>
      </c>
      <c r="F328" s="182" t="s">
        <v>85</v>
      </c>
      <c r="G328" s="484">
        <f>SUM(G329:G330)</f>
        <v>125083</v>
      </c>
      <c r="H328" s="484">
        <f>SUM(H329:H330)</f>
        <v>125083</v>
      </c>
    </row>
    <row r="329" spans="1:8" ht="38.25">
      <c r="A329" s="13" t="s">
        <v>212</v>
      </c>
      <c r="B329" s="13"/>
      <c r="C329" s="182" t="s">
        <v>527</v>
      </c>
      <c r="D329" s="182" t="s">
        <v>99</v>
      </c>
      <c r="E329" s="183" t="s">
        <v>125</v>
      </c>
      <c r="F329" s="182">
        <v>200</v>
      </c>
      <c r="G329" s="484">
        <v>1900</v>
      </c>
      <c r="H329" s="484">
        <v>1900</v>
      </c>
    </row>
    <row r="330" spans="1:8" ht="25.5">
      <c r="A330" s="13" t="s">
        <v>79</v>
      </c>
      <c r="B330" s="13"/>
      <c r="C330" s="182" t="s">
        <v>527</v>
      </c>
      <c r="D330" s="182" t="s">
        <v>99</v>
      </c>
      <c r="E330" s="183" t="s">
        <v>125</v>
      </c>
      <c r="F330" s="182" t="s">
        <v>78</v>
      </c>
      <c r="G330" s="485">
        <v>123183</v>
      </c>
      <c r="H330" s="485">
        <v>123183</v>
      </c>
    </row>
    <row r="331" spans="1:8" ht="51">
      <c r="A331" s="31" t="s">
        <v>612</v>
      </c>
      <c r="B331" s="31"/>
      <c r="C331" s="200" t="s">
        <v>527</v>
      </c>
      <c r="D331" s="200" t="s">
        <v>99</v>
      </c>
      <c r="E331" s="186" t="s">
        <v>126</v>
      </c>
      <c r="F331" s="200"/>
      <c r="G331" s="484">
        <f>G332</f>
        <v>265488</v>
      </c>
      <c r="H331" s="484">
        <f>H332</f>
        <v>265488</v>
      </c>
    </row>
    <row r="332" spans="1:8" ht="51">
      <c r="A332" s="185" t="s">
        <v>466</v>
      </c>
      <c r="B332" s="185"/>
      <c r="C332" s="182" t="s">
        <v>527</v>
      </c>
      <c r="D332" s="182" t="s">
        <v>99</v>
      </c>
      <c r="E332" s="183" t="s">
        <v>127</v>
      </c>
      <c r="F332" s="182" t="s">
        <v>85</v>
      </c>
      <c r="G332" s="484">
        <f>SUM(G333:G334)</f>
        <v>265488</v>
      </c>
      <c r="H332" s="484">
        <f>SUM(H333:H334)</f>
        <v>265488</v>
      </c>
    </row>
    <row r="333" spans="1:8" ht="38.25">
      <c r="A333" s="13" t="s">
        <v>212</v>
      </c>
      <c r="B333" s="13"/>
      <c r="C333" s="182" t="s">
        <v>527</v>
      </c>
      <c r="D333" s="182" t="s">
        <v>99</v>
      </c>
      <c r="E333" s="183" t="s">
        <v>127</v>
      </c>
      <c r="F333" s="182">
        <v>200</v>
      </c>
      <c r="G333" s="485">
        <v>2000</v>
      </c>
      <c r="H333" s="485">
        <v>2000</v>
      </c>
    </row>
    <row r="334" spans="1:8" ht="25.5">
      <c r="A334" s="13" t="s">
        <v>79</v>
      </c>
      <c r="B334" s="13"/>
      <c r="C334" s="182" t="s">
        <v>527</v>
      </c>
      <c r="D334" s="182" t="s">
        <v>99</v>
      </c>
      <c r="E334" s="183" t="s">
        <v>127</v>
      </c>
      <c r="F334" s="182">
        <v>300</v>
      </c>
      <c r="G334" s="485">
        <v>263488</v>
      </c>
      <c r="H334" s="485">
        <v>263488</v>
      </c>
    </row>
    <row r="335" spans="1:8" ht="12.75">
      <c r="A335" s="201" t="s">
        <v>541</v>
      </c>
      <c r="B335" s="201"/>
      <c r="C335" s="200" t="s">
        <v>527</v>
      </c>
      <c r="D335" s="200" t="s">
        <v>507</v>
      </c>
      <c r="E335" s="200" t="s">
        <v>85</v>
      </c>
      <c r="F335" s="200" t="s">
        <v>85</v>
      </c>
      <c r="G335" s="484">
        <f>G336</f>
        <v>53311450</v>
      </c>
      <c r="H335" s="484">
        <f>H336</f>
        <v>56365924</v>
      </c>
    </row>
    <row r="336" spans="1:8" ht="38.25">
      <c r="A336" s="198" t="s">
        <v>157</v>
      </c>
      <c r="B336" s="198"/>
      <c r="C336" s="182" t="s">
        <v>527</v>
      </c>
      <c r="D336" s="182" t="s">
        <v>507</v>
      </c>
      <c r="E336" s="183" t="s">
        <v>207</v>
      </c>
      <c r="F336" s="182"/>
      <c r="G336" s="484">
        <f>G337</f>
        <v>53311450</v>
      </c>
      <c r="H336" s="484">
        <f>H337</f>
        <v>56365924</v>
      </c>
    </row>
    <row r="337" spans="1:8" ht="89.25">
      <c r="A337" s="12" t="s">
        <v>224</v>
      </c>
      <c r="B337" s="12"/>
      <c r="C337" s="182" t="s">
        <v>527</v>
      </c>
      <c r="D337" s="182" t="s">
        <v>507</v>
      </c>
      <c r="E337" s="186" t="s">
        <v>7</v>
      </c>
      <c r="F337" s="185" t="s">
        <v>85</v>
      </c>
      <c r="G337" s="484">
        <f>G338+G345</f>
        <v>53311450</v>
      </c>
      <c r="H337" s="484">
        <f>H338+H345</f>
        <v>56365924</v>
      </c>
    </row>
    <row r="338" spans="1:8" ht="63.75">
      <c r="A338" s="29" t="s">
        <v>720</v>
      </c>
      <c r="B338" s="29"/>
      <c r="C338" s="182" t="s">
        <v>527</v>
      </c>
      <c r="D338" s="182" t="s">
        <v>507</v>
      </c>
      <c r="E338" s="182" t="s">
        <v>121</v>
      </c>
      <c r="F338" s="182"/>
      <c r="G338" s="484">
        <f>G339+G341+G343</f>
        <v>47192196</v>
      </c>
      <c r="H338" s="484">
        <f>H339+H341+H343</f>
        <v>50039667</v>
      </c>
    </row>
    <row r="339" spans="1:8" ht="12.75">
      <c r="A339" s="28" t="s">
        <v>528</v>
      </c>
      <c r="B339" s="28"/>
      <c r="C339" s="182" t="s">
        <v>527</v>
      </c>
      <c r="D339" s="182" t="s">
        <v>507</v>
      </c>
      <c r="E339" s="183" t="s">
        <v>721</v>
      </c>
      <c r="F339" s="182"/>
      <c r="G339" s="484">
        <f>G340</f>
        <v>1707915</v>
      </c>
      <c r="H339" s="484">
        <f>H340</f>
        <v>1707915</v>
      </c>
    </row>
    <row r="340" spans="1:8" ht="25.5">
      <c r="A340" s="13" t="s">
        <v>79</v>
      </c>
      <c r="B340" s="13"/>
      <c r="C340" s="182" t="s">
        <v>527</v>
      </c>
      <c r="D340" s="182" t="s">
        <v>507</v>
      </c>
      <c r="E340" s="183" t="s">
        <v>721</v>
      </c>
      <c r="F340" s="182">
        <v>300</v>
      </c>
      <c r="G340" s="485">
        <v>1707915</v>
      </c>
      <c r="H340" s="485">
        <v>1707915</v>
      </c>
    </row>
    <row r="341" spans="1:8" ht="38.25">
      <c r="A341" s="300" t="s">
        <v>484</v>
      </c>
      <c r="B341" s="13"/>
      <c r="C341" s="182" t="s">
        <v>527</v>
      </c>
      <c r="D341" s="182" t="s">
        <v>507</v>
      </c>
      <c r="E341" s="183" t="s">
        <v>485</v>
      </c>
      <c r="F341" s="182"/>
      <c r="G341" s="485">
        <f>G342</f>
        <v>44608300</v>
      </c>
      <c r="H341" s="485">
        <f>H342</f>
        <v>47416182</v>
      </c>
    </row>
    <row r="342" spans="1:8" ht="25.5">
      <c r="A342" s="13" t="s">
        <v>79</v>
      </c>
      <c r="B342" s="13"/>
      <c r="C342" s="182" t="s">
        <v>527</v>
      </c>
      <c r="D342" s="182" t="s">
        <v>507</v>
      </c>
      <c r="E342" s="183" t="s">
        <v>485</v>
      </c>
      <c r="F342" s="182">
        <v>300</v>
      </c>
      <c r="G342" s="485">
        <v>44608300</v>
      </c>
      <c r="H342" s="485">
        <v>47416182</v>
      </c>
    </row>
    <row r="343" spans="1:8" ht="51">
      <c r="A343" s="300" t="s">
        <v>486</v>
      </c>
      <c r="B343" s="13"/>
      <c r="C343" s="182" t="s">
        <v>527</v>
      </c>
      <c r="D343" s="182" t="s">
        <v>507</v>
      </c>
      <c r="E343" s="183" t="s">
        <v>487</v>
      </c>
      <c r="F343" s="182"/>
      <c r="G343" s="485">
        <f>G344</f>
        <v>875981</v>
      </c>
      <c r="H343" s="485">
        <f>H344</f>
        <v>915570</v>
      </c>
    </row>
    <row r="344" spans="1:8" ht="38.25">
      <c r="A344" s="13" t="s">
        <v>212</v>
      </c>
      <c r="B344" s="13"/>
      <c r="C344" s="182" t="s">
        <v>527</v>
      </c>
      <c r="D344" s="182" t="s">
        <v>507</v>
      </c>
      <c r="E344" s="183" t="s">
        <v>487</v>
      </c>
      <c r="F344" s="182">
        <v>200</v>
      </c>
      <c r="G344" s="485">
        <v>875981</v>
      </c>
      <c r="H344" s="485">
        <v>915570</v>
      </c>
    </row>
    <row r="345" spans="1:8" ht="76.5">
      <c r="A345" s="29" t="s">
        <v>122</v>
      </c>
      <c r="B345" s="29"/>
      <c r="C345" s="182" t="s">
        <v>527</v>
      </c>
      <c r="D345" s="182" t="s">
        <v>507</v>
      </c>
      <c r="E345" s="186" t="s">
        <v>722</v>
      </c>
      <c r="F345" s="185"/>
      <c r="G345" s="484">
        <f>G346</f>
        <v>6119254</v>
      </c>
      <c r="H345" s="484">
        <f>H346</f>
        <v>6326257</v>
      </c>
    </row>
    <row r="346" spans="1:8" ht="51">
      <c r="A346" s="185" t="s">
        <v>564</v>
      </c>
      <c r="B346" s="185"/>
      <c r="C346" s="182" t="s">
        <v>527</v>
      </c>
      <c r="D346" s="182" t="s">
        <v>507</v>
      </c>
      <c r="E346" s="183" t="s">
        <v>723</v>
      </c>
      <c r="F346" s="182" t="s">
        <v>85</v>
      </c>
      <c r="G346" s="484">
        <f>SUM(G347:G347)</f>
        <v>6119254</v>
      </c>
      <c r="H346" s="484">
        <f>SUM(H347:H347)</f>
        <v>6326257</v>
      </c>
    </row>
    <row r="347" spans="1:8" ht="25.5">
      <c r="A347" s="13" t="s">
        <v>79</v>
      </c>
      <c r="B347" s="13"/>
      <c r="C347" s="182" t="s">
        <v>527</v>
      </c>
      <c r="D347" s="182" t="s">
        <v>507</v>
      </c>
      <c r="E347" s="183" t="s">
        <v>723</v>
      </c>
      <c r="F347" s="182">
        <v>300</v>
      </c>
      <c r="G347" s="485">
        <v>6119254</v>
      </c>
      <c r="H347" s="485">
        <v>6326257</v>
      </c>
    </row>
    <row r="348" spans="1:8" ht="25.5">
      <c r="A348" s="201" t="s">
        <v>546</v>
      </c>
      <c r="B348" s="201"/>
      <c r="C348" s="200" t="s">
        <v>527</v>
      </c>
      <c r="D348" s="200" t="s">
        <v>508</v>
      </c>
      <c r="E348" s="200" t="s">
        <v>85</v>
      </c>
      <c r="F348" s="200" t="s">
        <v>85</v>
      </c>
      <c r="G348" s="484">
        <f aca="true" t="shared" si="27" ref="G348:H350">G349</f>
        <v>4441800</v>
      </c>
      <c r="H348" s="484">
        <f t="shared" si="27"/>
        <v>4441800</v>
      </c>
    </row>
    <row r="349" spans="1:8" ht="38.25">
      <c r="A349" s="198" t="s">
        <v>157</v>
      </c>
      <c r="B349" s="198"/>
      <c r="C349" s="182" t="s">
        <v>527</v>
      </c>
      <c r="D349" s="182" t="s">
        <v>508</v>
      </c>
      <c r="E349" s="183" t="s">
        <v>207</v>
      </c>
      <c r="F349" s="182" t="s">
        <v>85</v>
      </c>
      <c r="G349" s="484">
        <f>G350+G360</f>
        <v>4441800</v>
      </c>
      <c r="H349" s="484">
        <f>H350+H360</f>
        <v>4441800</v>
      </c>
    </row>
    <row r="350" spans="1:8" ht="76.5">
      <c r="A350" s="12" t="s">
        <v>355</v>
      </c>
      <c r="B350" s="12"/>
      <c r="C350" s="182" t="s">
        <v>527</v>
      </c>
      <c r="D350" s="182" t="s">
        <v>508</v>
      </c>
      <c r="E350" s="186" t="s">
        <v>6</v>
      </c>
      <c r="F350" s="185" t="s">
        <v>85</v>
      </c>
      <c r="G350" s="484">
        <f t="shared" si="27"/>
        <v>3437700</v>
      </c>
      <c r="H350" s="484">
        <f t="shared" si="27"/>
        <v>3437700</v>
      </c>
    </row>
    <row r="351" spans="1:8" ht="63.75">
      <c r="A351" s="32" t="s">
        <v>724</v>
      </c>
      <c r="B351" s="32"/>
      <c r="C351" s="182" t="s">
        <v>527</v>
      </c>
      <c r="D351" s="182" t="s">
        <v>508</v>
      </c>
      <c r="E351" s="186" t="s">
        <v>725</v>
      </c>
      <c r="F351" s="185"/>
      <c r="G351" s="484">
        <f>G352+G356</f>
        <v>3437700</v>
      </c>
      <c r="H351" s="484">
        <f>H352+H356</f>
        <v>3437700</v>
      </c>
    </row>
    <row r="352" spans="1:8" ht="51">
      <c r="A352" s="185" t="s">
        <v>365</v>
      </c>
      <c r="B352" s="185"/>
      <c r="C352" s="182" t="s">
        <v>527</v>
      </c>
      <c r="D352" s="182" t="s">
        <v>508</v>
      </c>
      <c r="E352" s="186" t="s">
        <v>726</v>
      </c>
      <c r="F352" s="182" t="s">
        <v>85</v>
      </c>
      <c r="G352" s="484">
        <f>SUM(G353:G355)</f>
        <v>2342900</v>
      </c>
      <c r="H352" s="484">
        <f>SUM(H353:H355)</f>
        <v>2342900</v>
      </c>
    </row>
    <row r="353" spans="1:8" ht="89.25">
      <c r="A353" s="13" t="s">
        <v>698</v>
      </c>
      <c r="B353" s="13"/>
      <c r="C353" s="182" t="s">
        <v>527</v>
      </c>
      <c r="D353" s="182" t="s">
        <v>508</v>
      </c>
      <c r="E353" s="186" t="s">
        <v>726</v>
      </c>
      <c r="F353" s="182">
        <v>100</v>
      </c>
      <c r="G353" s="485">
        <v>2232400</v>
      </c>
      <c r="H353" s="485">
        <v>2232400</v>
      </c>
    </row>
    <row r="354" spans="1:8" ht="38.25">
      <c r="A354" s="13" t="s">
        <v>212</v>
      </c>
      <c r="B354" s="13"/>
      <c r="C354" s="182" t="s">
        <v>527</v>
      </c>
      <c r="D354" s="182" t="s">
        <v>508</v>
      </c>
      <c r="E354" s="186" t="s">
        <v>726</v>
      </c>
      <c r="F354" s="185">
        <v>200</v>
      </c>
      <c r="G354" s="485">
        <v>110000</v>
      </c>
      <c r="H354" s="485">
        <v>110000</v>
      </c>
    </row>
    <row r="355" spans="1:8" ht="12.75">
      <c r="A355" s="13" t="s">
        <v>75</v>
      </c>
      <c r="B355" s="13"/>
      <c r="C355" s="182" t="s">
        <v>527</v>
      </c>
      <c r="D355" s="182" t="s">
        <v>508</v>
      </c>
      <c r="E355" s="186" t="s">
        <v>726</v>
      </c>
      <c r="F355" s="185">
        <v>800</v>
      </c>
      <c r="G355" s="485">
        <v>500</v>
      </c>
      <c r="H355" s="485">
        <v>500</v>
      </c>
    </row>
    <row r="356" spans="1:8" ht="89.25">
      <c r="A356" s="139" t="s">
        <v>673</v>
      </c>
      <c r="B356" s="13"/>
      <c r="C356" s="182" t="s">
        <v>527</v>
      </c>
      <c r="D356" s="182" t="s">
        <v>508</v>
      </c>
      <c r="E356" s="183" t="s">
        <v>317</v>
      </c>
      <c r="F356" s="185"/>
      <c r="G356" s="485">
        <f>G357+G358+G359</f>
        <v>1094800</v>
      </c>
      <c r="H356" s="485">
        <f>H357+H358+H359</f>
        <v>1094800</v>
      </c>
    </row>
    <row r="357" spans="1:8" ht="89.25">
      <c r="A357" s="13" t="s">
        <v>698</v>
      </c>
      <c r="B357" s="13"/>
      <c r="C357" s="182" t="s">
        <v>527</v>
      </c>
      <c r="D357" s="182" t="s">
        <v>508</v>
      </c>
      <c r="E357" s="183" t="s">
        <v>317</v>
      </c>
      <c r="F357" s="185">
        <v>100</v>
      </c>
      <c r="G357" s="485">
        <v>982100</v>
      </c>
      <c r="H357" s="485">
        <v>982100</v>
      </c>
    </row>
    <row r="358" spans="1:8" ht="38.25">
      <c r="A358" s="13" t="s">
        <v>212</v>
      </c>
      <c r="B358" s="13"/>
      <c r="C358" s="182" t="s">
        <v>527</v>
      </c>
      <c r="D358" s="182" t="s">
        <v>508</v>
      </c>
      <c r="E358" s="183" t="s">
        <v>317</v>
      </c>
      <c r="F358" s="185">
        <v>200</v>
      </c>
      <c r="G358" s="485">
        <v>112200</v>
      </c>
      <c r="H358" s="485">
        <v>112200</v>
      </c>
    </row>
    <row r="359" spans="1:8" ht="12.75">
      <c r="A359" s="180" t="s">
        <v>75</v>
      </c>
      <c r="B359" s="180"/>
      <c r="C359" s="178" t="s">
        <v>527</v>
      </c>
      <c r="D359" s="178" t="s">
        <v>508</v>
      </c>
      <c r="E359" s="179" t="s">
        <v>317</v>
      </c>
      <c r="F359" s="204">
        <v>800</v>
      </c>
      <c r="G359" s="489">
        <v>500</v>
      </c>
      <c r="H359" s="489">
        <v>500</v>
      </c>
    </row>
    <row r="360" spans="1:8" ht="89.25">
      <c r="A360" s="12" t="s">
        <v>167</v>
      </c>
      <c r="B360" s="12"/>
      <c r="C360" s="182" t="s">
        <v>527</v>
      </c>
      <c r="D360" s="182" t="s">
        <v>508</v>
      </c>
      <c r="E360" s="182" t="s">
        <v>7</v>
      </c>
      <c r="F360" s="185" t="s">
        <v>85</v>
      </c>
      <c r="G360" s="484">
        <f>G361</f>
        <v>1004100</v>
      </c>
      <c r="H360" s="484">
        <f>H361</f>
        <v>1004100</v>
      </c>
    </row>
    <row r="361" spans="1:8" ht="63.75">
      <c r="A361" s="13" t="s">
        <v>561</v>
      </c>
      <c r="B361" s="13"/>
      <c r="C361" s="182" t="s">
        <v>527</v>
      </c>
      <c r="D361" s="182" t="s">
        <v>508</v>
      </c>
      <c r="E361" s="182" t="s">
        <v>568</v>
      </c>
      <c r="F361" s="185"/>
      <c r="G361" s="484">
        <f>G362</f>
        <v>1004100</v>
      </c>
      <c r="H361" s="484">
        <f>H362</f>
        <v>1004100</v>
      </c>
    </row>
    <row r="362" spans="1:8" ht="76.5">
      <c r="A362" s="185" t="s">
        <v>266</v>
      </c>
      <c r="B362" s="185"/>
      <c r="C362" s="182" t="s">
        <v>527</v>
      </c>
      <c r="D362" s="182" t="s">
        <v>508</v>
      </c>
      <c r="E362" s="183" t="s">
        <v>426</v>
      </c>
      <c r="F362" s="182"/>
      <c r="G362" s="484">
        <f>SUM(G363:G364)</f>
        <v>1004100</v>
      </c>
      <c r="H362" s="484">
        <f>SUM(H363:H364)</f>
        <v>1004100</v>
      </c>
    </row>
    <row r="363" spans="1:8" ht="89.25">
      <c r="A363" s="13" t="s">
        <v>698</v>
      </c>
      <c r="B363" s="13"/>
      <c r="C363" s="182" t="s">
        <v>527</v>
      </c>
      <c r="D363" s="182" t="s">
        <v>508</v>
      </c>
      <c r="E363" s="183" t="s">
        <v>426</v>
      </c>
      <c r="F363" s="182">
        <v>100</v>
      </c>
      <c r="G363" s="485">
        <v>967900</v>
      </c>
      <c r="H363" s="485">
        <v>967900</v>
      </c>
    </row>
    <row r="364" spans="1:8" ht="38.25">
      <c r="A364" s="180" t="s">
        <v>212</v>
      </c>
      <c r="B364" s="180"/>
      <c r="C364" s="182" t="s">
        <v>527</v>
      </c>
      <c r="D364" s="182" t="s">
        <v>508</v>
      </c>
      <c r="E364" s="179" t="s">
        <v>426</v>
      </c>
      <c r="F364" s="178" t="s">
        <v>72</v>
      </c>
      <c r="G364" s="489">
        <v>36200</v>
      </c>
      <c r="H364" s="489">
        <v>36200</v>
      </c>
    </row>
    <row r="365" spans="1:8" ht="25.5">
      <c r="A365" s="161" t="s">
        <v>73</v>
      </c>
      <c r="B365" s="161"/>
      <c r="C365" s="159" t="s">
        <v>98</v>
      </c>
      <c r="D365" s="203" t="s">
        <v>436</v>
      </c>
      <c r="E365" s="159" t="s">
        <v>85</v>
      </c>
      <c r="F365" s="159" t="s">
        <v>85</v>
      </c>
      <c r="G365" s="491">
        <f aca="true" t="shared" si="28" ref="G365:H370">G366</f>
        <v>55000</v>
      </c>
      <c r="H365" s="491">
        <f t="shared" si="28"/>
        <v>51628</v>
      </c>
    </row>
    <row r="366" spans="1:8" ht="29.25" customHeight="1">
      <c r="A366" s="201" t="s">
        <v>74</v>
      </c>
      <c r="B366" s="201"/>
      <c r="C366" s="200" t="s">
        <v>98</v>
      </c>
      <c r="D366" s="200" t="s">
        <v>504</v>
      </c>
      <c r="E366" s="199" t="s">
        <v>85</v>
      </c>
      <c r="F366" s="199" t="s">
        <v>85</v>
      </c>
      <c r="G366" s="484">
        <f t="shared" si="28"/>
        <v>55000</v>
      </c>
      <c r="H366" s="484">
        <f t="shared" si="28"/>
        <v>51628</v>
      </c>
    </row>
    <row r="367" spans="1:8" ht="38.25">
      <c r="A367" s="198" t="s">
        <v>166</v>
      </c>
      <c r="B367" s="198"/>
      <c r="C367" s="182" t="s">
        <v>98</v>
      </c>
      <c r="D367" s="182" t="s">
        <v>504</v>
      </c>
      <c r="E367" s="183" t="s">
        <v>656</v>
      </c>
      <c r="F367" s="196" t="s">
        <v>85</v>
      </c>
      <c r="G367" s="484">
        <f t="shared" si="28"/>
        <v>55000</v>
      </c>
      <c r="H367" s="484">
        <f t="shared" si="28"/>
        <v>51628</v>
      </c>
    </row>
    <row r="368" spans="1:8" ht="76.5">
      <c r="A368" s="12" t="s">
        <v>366</v>
      </c>
      <c r="B368" s="12"/>
      <c r="C368" s="182" t="s">
        <v>98</v>
      </c>
      <c r="D368" s="182" t="s">
        <v>504</v>
      </c>
      <c r="E368" s="183" t="s">
        <v>116</v>
      </c>
      <c r="F368" s="197" t="s">
        <v>85</v>
      </c>
      <c r="G368" s="484">
        <f t="shared" si="28"/>
        <v>55000</v>
      </c>
      <c r="H368" s="484">
        <f t="shared" si="28"/>
        <v>51628</v>
      </c>
    </row>
    <row r="369" spans="1:8" ht="76.5">
      <c r="A369" s="28" t="s">
        <v>115</v>
      </c>
      <c r="B369" s="28"/>
      <c r="C369" s="182" t="s">
        <v>98</v>
      </c>
      <c r="D369" s="182" t="s">
        <v>504</v>
      </c>
      <c r="E369" s="183" t="s">
        <v>117</v>
      </c>
      <c r="F369" s="197"/>
      <c r="G369" s="484">
        <f t="shared" si="28"/>
        <v>55000</v>
      </c>
      <c r="H369" s="484">
        <f t="shared" si="28"/>
        <v>51628</v>
      </c>
    </row>
    <row r="370" spans="1:8" ht="19.5" customHeight="1">
      <c r="A370" s="33" t="s">
        <v>118</v>
      </c>
      <c r="B370" s="33"/>
      <c r="C370" s="182" t="s">
        <v>98</v>
      </c>
      <c r="D370" s="182" t="s">
        <v>504</v>
      </c>
      <c r="E370" s="183" t="s">
        <v>119</v>
      </c>
      <c r="F370" s="196" t="s">
        <v>85</v>
      </c>
      <c r="G370" s="484">
        <f t="shared" si="28"/>
        <v>55000</v>
      </c>
      <c r="H370" s="484">
        <f t="shared" si="28"/>
        <v>51628</v>
      </c>
    </row>
    <row r="371" spans="1:8" ht="25.5">
      <c r="A371" s="180" t="s">
        <v>467</v>
      </c>
      <c r="B371" s="180"/>
      <c r="C371" s="178" t="s">
        <v>98</v>
      </c>
      <c r="D371" s="178" t="s">
        <v>504</v>
      </c>
      <c r="E371" s="179" t="s">
        <v>119</v>
      </c>
      <c r="F371" s="178" t="s">
        <v>80</v>
      </c>
      <c r="G371" s="489">
        <v>55000</v>
      </c>
      <c r="H371" s="489">
        <v>51628</v>
      </c>
    </row>
    <row r="372" spans="1:8" ht="25.5">
      <c r="A372" s="195" t="s">
        <v>519</v>
      </c>
      <c r="B372" s="194" t="s">
        <v>518</v>
      </c>
      <c r="C372" s="307"/>
      <c r="D372" s="307"/>
      <c r="E372" s="308"/>
      <c r="F372" s="193"/>
      <c r="G372" s="497">
        <f>G373</f>
        <v>1025105</v>
      </c>
      <c r="H372" s="497">
        <f>H373</f>
        <v>962255</v>
      </c>
    </row>
    <row r="373" spans="1:8" ht="38.25">
      <c r="A373" s="191" t="s">
        <v>164</v>
      </c>
      <c r="B373" s="191"/>
      <c r="C373" s="190" t="s">
        <v>504</v>
      </c>
      <c r="D373" s="190" t="s">
        <v>508</v>
      </c>
      <c r="E373" s="189" t="s">
        <v>659</v>
      </c>
      <c r="F373" s="188" t="s">
        <v>85</v>
      </c>
      <c r="G373" s="498">
        <f>G374+G377</f>
        <v>1025105</v>
      </c>
      <c r="H373" s="498">
        <f>H374+H377</f>
        <v>962255</v>
      </c>
    </row>
    <row r="374" spans="1:8" ht="38.25">
      <c r="A374" s="12" t="s">
        <v>165</v>
      </c>
      <c r="B374" s="12"/>
      <c r="C374" s="182" t="s">
        <v>504</v>
      </c>
      <c r="D374" s="182" t="s">
        <v>508</v>
      </c>
      <c r="E374" s="186" t="s">
        <v>660</v>
      </c>
      <c r="F374" s="182" t="s">
        <v>85</v>
      </c>
      <c r="G374" s="484">
        <f>G375</f>
        <v>664065</v>
      </c>
      <c r="H374" s="484">
        <f>H375</f>
        <v>623557</v>
      </c>
    </row>
    <row r="375" spans="1:8" ht="38.25">
      <c r="A375" s="185" t="s">
        <v>694</v>
      </c>
      <c r="B375" s="185"/>
      <c r="C375" s="182" t="s">
        <v>504</v>
      </c>
      <c r="D375" s="182" t="s">
        <v>508</v>
      </c>
      <c r="E375" s="183" t="s">
        <v>661</v>
      </c>
      <c r="F375" s="182"/>
      <c r="G375" s="484">
        <f>SUM(G376:G376)</f>
        <v>664065</v>
      </c>
      <c r="H375" s="484">
        <f>SUM(H376:H376)</f>
        <v>623557</v>
      </c>
    </row>
    <row r="376" spans="1:8" ht="89.25">
      <c r="A376" s="13" t="s">
        <v>698</v>
      </c>
      <c r="B376" s="13"/>
      <c r="C376" s="182" t="s">
        <v>504</v>
      </c>
      <c r="D376" s="182" t="s">
        <v>508</v>
      </c>
      <c r="E376" s="183" t="s">
        <v>661</v>
      </c>
      <c r="F376" s="182">
        <v>100</v>
      </c>
      <c r="G376" s="484">
        <v>664065</v>
      </c>
      <c r="H376" s="484">
        <v>623557</v>
      </c>
    </row>
    <row r="377" spans="1:8" ht="25.5">
      <c r="A377" s="13" t="s">
        <v>38</v>
      </c>
      <c r="B377" s="13"/>
      <c r="C377" s="182" t="s">
        <v>504</v>
      </c>
      <c r="D377" s="182" t="s">
        <v>508</v>
      </c>
      <c r="E377" s="186" t="s">
        <v>37</v>
      </c>
      <c r="F377" s="182"/>
      <c r="G377" s="484">
        <f>G378</f>
        <v>361040</v>
      </c>
      <c r="H377" s="484">
        <f>H378</f>
        <v>338698</v>
      </c>
    </row>
    <row r="378" spans="1:8" ht="38.25">
      <c r="A378" s="185" t="s">
        <v>694</v>
      </c>
      <c r="B378" s="185"/>
      <c r="C378" s="182" t="s">
        <v>504</v>
      </c>
      <c r="D378" s="182" t="s">
        <v>508</v>
      </c>
      <c r="E378" s="183" t="s">
        <v>36</v>
      </c>
      <c r="F378" s="182"/>
      <c r="G378" s="484">
        <f>SUM(G379:G380)</f>
        <v>361040</v>
      </c>
      <c r="H378" s="484">
        <f>SUM(H379:H380)</f>
        <v>338698</v>
      </c>
    </row>
    <row r="379" spans="1:8" ht="89.25">
      <c r="A379" s="13" t="s">
        <v>698</v>
      </c>
      <c r="B379" s="13"/>
      <c r="C379" s="182" t="s">
        <v>504</v>
      </c>
      <c r="D379" s="182" t="s">
        <v>508</v>
      </c>
      <c r="E379" s="183" t="s">
        <v>36</v>
      </c>
      <c r="F379" s="182">
        <v>100</v>
      </c>
      <c r="G379" s="485">
        <v>361040</v>
      </c>
      <c r="H379" s="485">
        <v>338698</v>
      </c>
    </row>
    <row r="380" spans="1:8" ht="38.25" hidden="1">
      <c r="A380" s="180" t="s">
        <v>212</v>
      </c>
      <c r="B380" s="180"/>
      <c r="C380" s="178" t="s">
        <v>504</v>
      </c>
      <c r="D380" s="178" t="s">
        <v>508</v>
      </c>
      <c r="E380" s="179" t="s">
        <v>36</v>
      </c>
      <c r="F380" s="178">
        <v>200</v>
      </c>
      <c r="G380" s="489"/>
      <c r="H380" s="489"/>
    </row>
    <row r="381" spans="1:8" ht="12.75">
      <c r="A381" s="309" t="s">
        <v>727</v>
      </c>
      <c r="B381" s="310"/>
      <c r="C381" s="163"/>
      <c r="D381" s="163"/>
      <c r="E381" s="311"/>
      <c r="F381" s="163"/>
      <c r="G381" s="499">
        <v>4301916</v>
      </c>
      <c r="H381" s="499">
        <f>9468328+353755</f>
        <v>9822083</v>
      </c>
    </row>
  </sheetData>
  <sheetProtection/>
  <mergeCells count="2">
    <mergeCell ref="A3:H3"/>
    <mergeCell ref="A5:H5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9999"/>
  </sheetPr>
  <dimension ref="A1:F368"/>
  <sheetViews>
    <sheetView showGridLines="0" tabSelected="1" zoomScaleSheetLayoutView="100" zoomScalePageLayoutView="0" workbookViewId="0" topLeftCell="A252">
      <selection activeCell="D260" sqref="D260"/>
    </sheetView>
  </sheetViews>
  <sheetFormatPr defaultColWidth="9.140625" defaultRowHeight="12.75"/>
  <cols>
    <col min="1" max="1" width="59.28125" style="120" customWidth="1"/>
    <col min="2" max="2" width="13.421875" style="120" bestFit="1" customWidth="1"/>
    <col min="3" max="3" width="4.57421875" style="120" customWidth="1"/>
    <col min="4" max="4" width="14.00390625" style="120" customWidth="1"/>
    <col min="5" max="5" width="11.421875" style="242" customWidth="1"/>
    <col min="6" max="6" width="9.140625" style="241" customWidth="1"/>
    <col min="7" max="16384" width="9.140625" style="120" customWidth="1"/>
  </cols>
  <sheetData>
    <row r="1" spans="1:4" ht="12.75">
      <c r="A1" s="174"/>
      <c r="B1" s="172"/>
      <c r="C1" s="172"/>
      <c r="D1" s="268" t="s">
        <v>511</v>
      </c>
    </row>
    <row r="2" spans="1:4" ht="12.75">
      <c r="A2" s="174"/>
      <c r="B2" s="172"/>
      <c r="C2" s="172"/>
      <c r="D2" s="42" t="s">
        <v>247</v>
      </c>
    </row>
    <row r="3" spans="1:4" ht="12.75">
      <c r="A3" s="514" t="s">
        <v>985</v>
      </c>
      <c r="B3" s="514"/>
      <c r="C3" s="514"/>
      <c r="D3" s="514"/>
    </row>
    <row r="4" spans="1:4" ht="12.75">
      <c r="A4" s="173"/>
      <c r="B4" s="172"/>
      <c r="C4" s="172"/>
      <c r="D4" s="267"/>
    </row>
    <row r="5" spans="1:4" ht="38.25">
      <c r="A5" s="171" t="s">
        <v>872</v>
      </c>
      <c r="B5" s="171"/>
      <c r="C5" s="171"/>
      <c r="D5" s="171"/>
    </row>
    <row r="6" spans="1:4" ht="12.75">
      <c r="A6" s="169"/>
      <c r="B6" s="169"/>
      <c r="C6" s="169"/>
      <c r="D6" s="169" t="s">
        <v>86</v>
      </c>
    </row>
    <row r="7" spans="1:4" ht="12.75">
      <c r="A7" s="167" t="s">
        <v>82</v>
      </c>
      <c r="B7" s="167" t="s">
        <v>499</v>
      </c>
      <c r="C7" s="167" t="s">
        <v>500</v>
      </c>
      <c r="D7" s="167" t="s">
        <v>274</v>
      </c>
    </row>
    <row r="8" spans="1:5" ht="12.75">
      <c r="A8" s="266" t="s">
        <v>70</v>
      </c>
      <c r="B8" s="266">
        <v>2</v>
      </c>
      <c r="C8" s="266">
        <v>3</v>
      </c>
      <c r="D8" s="266">
        <v>4</v>
      </c>
      <c r="E8" s="121"/>
    </row>
    <row r="9" spans="1:6" ht="12.75">
      <c r="A9" s="164" t="s">
        <v>87</v>
      </c>
      <c r="B9" s="163" t="s">
        <v>85</v>
      </c>
      <c r="C9" s="163" t="s">
        <v>85</v>
      </c>
      <c r="D9" s="162">
        <f>D10+D25+D78+D157+D163+D193+D211+D233+D243+D255+D266+D270+D280+D289+D294+D298+D307+D315+D321+D363</f>
        <v>749239034.1</v>
      </c>
      <c r="E9" s="176"/>
      <c r="F9" s="265"/>
    </row>
    <row r="10" spans="1:5" ht="25.5">
      <c r="A10" s="264" t="s">
        <v>15</v>
      </c>
      <c r="B10" s="263" t="s">
        <v>299</v>
      </c>
      <c r="C10" s="262" t="s">
        <v>85</v>
      </c>
      <c r="D10" s="202">
        <f>D11+D17</f>
        <v>28914423</v>
      </c>
      <c r="E10" s="176"/>
    </row>
    <row r="11" spans="1:5" ht="25.5">
      <c r="A11" s="12" t="s">
        <v>559</v>
      </c>
      <c r="B11" s="183" t="s">
        <v>300</v>
      </c>
      <c r="C11" s="182" t="s">
        <v>85</v>
      </c>
      <c r="D11" s="184">
        <f>D12</f>
        <v>5279218</v>
      </c>
      <c r="E11" s="176"/>
    </row>
    <row r="12" spans="1:5" ht="12.75">
      <c r="A12" s="29" t="s">
        <v>457</v>
      </c>
      <c r="B12" s="183" t="s">
        <v>301</v>
      </c>
      <c r="C12" s="182"/>
      <c r="D12" s="184">
        <f>D13</f>
        <v>5279218</v>
      </c>
      <c r="E12" s="176"/>
    </row>
    <row r="13" spans="1:5" ht="25.5">
      <c r="A13" s="185" t="s">
        <v>696</v>
      </c>
      <c r="B13" s="183" t="s">
        <v>302</v>
      </c>
      <c r="C13" s="182" t="s">
        <v>85</v>
      </c>
      <c r="D13" s="184">
        <f>SUM(D14:D16)</f>
        <v>5279218</v>
      </c>
      <c r="E13" s="176"/>
    </row>
    <row r="14" spans="1:5" ht="51">
      <c r="A14" s="13" t="s">
        <v>698</v>
      </c>
      <c r="B14" s="183" t="s">
        <v>302</v>
      </c>
      <c r="C14" s="182">
        <v>100</v>
      </c>
      <c r="D14" s="181">
        <v>4920154</v>
      </c>
      <c r="E14" s="176"/>
    </row>
    <row r="15" spans="1:5" ht="25.5">
      <c r="A15" s="13" t="s">
        <v>212</v>
      </c>
      <c r="B15" s="183" t="s">
        <v>302</v>
      </c>
      <c r="C15" s="182">
        <v>200</v>
      </c>
      <c r="D15" s="181">
        <v>326168</v>
      </c>
      <c r="E15" s="176"/>
    </row>
    <row r="16" spans="1:5" ht="12.75">
      <c r="A16" s="13" t="s">
        <v>75</v>
      </c>
      <c r="B16" s="183" t="s">
        <v>302</v>
      </c>
      <c r="C16" s="182">
        <v>800</v>
      </c>
      <c r="D16" s="181">
        <v>32896</v>
      </c>
      <c r="E16" s="176"/>
    </row>
    <row r="17" spans="1:5" ht="25.5">
      <c r="A17" s="12" t="s">
        <v>560</v>
      </c>
      <c r="B17" s="183" t="s">
        <v>303</v>
      </c>
      <c r="C17" s="182"/>
      <c r="D17" s="184">
        <f>D18</f>
        <v>23635205</v>
      </c>
      <c r="E17" s="176"/>
    </row>
    <row r="18" spans="1:5" ht="38.25">
      <c r="A18" s="29" t="s">
        <v>608</v>
      </c>
      <c r="B18" s="183" t="s">
        <v>304</v>
      </c>
      <c r="C18" s="182"/>
      <c r="D18" s="184">
        <f>D19+D21+D23</f>
        <v>23635205</v>
      </c>
      <c r="E18" s="176"/>
    </row>
    <row r="19" spans="1:5" ht="25.5">
      <c r="A19" s="185" t="s">
        <v>696</v>
      </c>
      <c r="B19" s="183" t="s">
        <v>305</v>
      </c>
      <c r="C19" s="182"/>
      <c r="D19" s="184">
        <f>D20</f>
        <v>23511205</v>
      </c>
      <c r="E19" s="176"/>
    </row>
    <row r="20" spans="1:5" ht="25.5">
      <c r="A20" s="13" t="s">
        <v>88</v>
      </c>
      <c r="B20" s="183" t="s">
        <v>305</v>
      </c>
      <c r="C20" s="182">
        <v>600</v>
      </c>
      <c r="D20" s="181">
        <v>23511205</v>
      </c>
      <c r="E20" s="176"/>
    </row>
    <row r="21" spans="1:5" ht="24">
      <c r="A21" s="30" t="s">
        <v>275</v>
      </c>
      <c r="B21" s="183" t="s">
        <v>254</v>
      </c>
      <c r="C21" s="182"/>
      <c r="D21" s="184">
        <f>D22</f>
        <v>124000</v>
      </c>
      <c r="E21" s="176"/>
    </row>
    <row r="22" spans="1:5" ht="24">
      <c r="A22" s="30" t="s">
        <v>89</v>
      </c>
      <c r="B22" s="183" t="s">
        <v>254</v>
      </c>
      <c r="C22" s="182">
        <v>200</v>
      </c>
      <c r="D22" s="184">
        <v>124000</v>
      </c>
      <c r="E22" s="176"/>
    </row>
    <row r="23" spans="1:5" ht="38.25" hidden="1">
      <c r="A23" s="125" t="s">
        <v>773</v>
      </c>
      <c r="B23" s="124" t="s">
        <v>772</v>
      </c>
      <c r="C23" s="129"/>
      <c r="D23" s="215">
        <f>D24</f>
        <v>0</v>
      </c>
      <c r="E23" s="176"/>
    </row>
    <row r="24" spans="1:5" ht="25.5" hidden="1">
      <c r="A24" s="139" t="s">
        <v>88</v>
      </c>
      <c r="B24" s="124" t="s">
        <v>772</v>
      </c>
      <c r="C24" s="137">
        <v>600</v>
      </c>
      <c r="D24" s="215"/>
      <c r="E24" s="176"/>
    </row>
    <row r="25" spans="1:5" ht="25.5">
      <c r="A25" s="191" t="s">
        <v>157</v>
      </c>
      <c r="B25" s="248" t="s">
        <v>207</v>
      </c>
      <c r="C25" s="159" t="s">
        <v>85</v>
      </c>
      <c r="D25" s="158">
        <f>D26+D39+D58</f>
        <v>68406211</v>
      </c>
      <c r="E25" s="176"/>
    </row>
    <row r="26" spans="1:5" ht="38.25">
      <c r="A26" s="12" t="s">
        <v>355</v>
      </c>
      <c r="B26" s="186" t="s">
        <v>6</v>
      </c>
      <c r="C26" s="182" t="s">
        <v>85</v>
      </c>
      <c r="D26" s="184">
        <f>D27+D30</f>
        <v>3437700</v>
      </c>
      <c r="E26" s="176"/>
    </row>
    <row r="27" spans="1:5" ht="38.25" hidden="1">
      <c r="A27" s="31" t="s">
        <v>424</v>
      </c>
      <c r="B27" s="186" t="s">
        <v>129</v>
      </c>
      <c r="C27" s="182"/>
      <c r="D27" s="184">
        <f>D28</f>
        <v>0</v>
      </c>
      <c r="E27" s="176"/>
    </row>
    <row r="28" spans="1:5" ht="38.25" hidden="1">
      <c r="A28" s="185" t="s">
        <v>592</v>
      </c>
      <c r="B28" s="183" t="s">
        <v>425</v>
      </c>
      <c r="C28" s="182" t="s">
        <v>85</v>
      </c>
      <c r="D28" s="184">
        <f>D29</f>
        <v>0</v>
      </c>
      <c r="E28" s="176"/>
    </row>
    <row r="29" spans="1:5" ht="25.5" hidden="1">
      <c r="A29" s="13" t="s">
        <v>88</v>
      </c>
      <c r="B29" s="183" t="s">
        <v>425</v>
      </c>
      <c r="C29" s="182" t="s">
        <v>77</v>
      </c>
      <c r="D29" s="181"/>
      <c r="E29" s="176"/>
    </row>
    <row r="30" spans="1:5" ht="38.25">
      <c r="A30" s="32" t="s">
        <v>724</v>
      </c>
      <c r="B30" s="186" t="s">
        <v>725</v>
      </c>
      <c r="C30" s="182"/>
      <c r="D30" s="184">
        <f>D31+D35</f>
        <v>3437700</v>
      </c>
      <c r="E30" s="176"/>
    </row>
    <row r="31" spans="1:5" ht="25.5">
      <c r="A31" s="185" t="s">
        <v>365</v>
      </c>
      <c r="B31" s="186" t="s">
        <v>726</v>
      </c>
      <c r="C31" s="182" t="s">
        <v>85</v>
      </c>
      <c r="D31" s="184">
        <f>SUM(D32:D34)</f>
        <v>2342900</v>
      </c>
      <c r="E31" s="176"/>
    </row>
    <row r="32" spans="1:5" ht="51">
      <c r="A32" s="13" t="s">
        <v>698</v>
      </c>
      <c r="B32" s="186" t="s">
        <v>726</v>
      </c>
      <c r="C32" s="182">
        <v>100</v>
      </c>
      <c r="D32" s="181">
        <v>2232400</v>
      </c>
      <c r="E32" s="176"/>
    </row>
    <row r="33" spans="1:5" ht="25.5">
      <c r="A33" s="13" t="s">
        <v>212</v>
      </c>
      <c r="B33" s="186" t="s">
        <v>726</v>
      </c>
      <c r="C33" s="182">
        <v>200</v>
      </c>
      <c r="D33" s="181">
        <v>110500</v>
      </c>
      <c r="E33" s="176"/>
    </row>
    <row r="34" spans="1:5" ht="12.75" hidden="1">
      <c r="A34" s="13" t="s">
        <v>75</v>
      </c>
      <c r="B34" s="186" t="s">
        <v>726</v>
      </c>
      <c r="C34" s="182">
        <v>800</v>
      </c>
      <c r="D34" s="181">
        <v>0</v>
      </c>
      <c r="E34" s="176"/>
    </row>
    <row r="35" spans="1:5" ht="51">
      <c r="A35" s="139" t="s">
        <v>673</v>
      </c>
      <c r="B35" s="186" t="s">
        <v>317</v>
      </c>
      <c r="C35" s="182"/>
      <c r="D35" s="181">
        <f>D36+D37+D38</f>
        <v>1094800</v>
      </c>
      <c r="E35" s="176"/>
    </row>
    <row r="36" spans="1:5" ht="51">
      <c r="A36" s="13" t="s">
        <v>698</v>
      </c>
      <c r="B36" s="186" t="s">
        <v>317</v>
      </c>
      <c r="C36" s="182">
        <v>100</v>
      </c>
      <c r="D36" s="181">
        <v>834784.98</v>
      </c>
      <c r="E36" s="176"/>
    </row>
    <row r="37" spans="1:5" ht="25.5">
      <c r="A37" s="13" t="s">
        <v>212</v>
      </c>
      <c r="B37" s="186" t="s">
        <v>317</v>
      </c>
      <c r="C37" s="182">
        <v>200</v>
      </c>
      <c r="D37" s="181">
        <v>260015.02</v>
      </c>
      <c r="E37" s="176"/>
    </row>
    <row r="38" spans="1:5" ht="12.75" hidden="1">
      <c r="A38" s="13" t="s">
        <v>75</v>
      </c>
      <c r="B38" s="186" t="s">
        <v>317</v>
      </c>
      <c r="C38" s="182">
        <v>800</v>
      </c>
      <c r="D38" s="181">
        <v>0</v>
      </c>
      <c r="E38" s="176"/>
    </row>
    <row r="39" spans="1:5" ht="38.25">
      <c r="A39" s="12" t="s">
        <v>158</v>
      </c>
      <c r="B39" s="186" t="s">
        <v>114</v>
      </c>
      <c r="C39" s="182" t="s">
        <v>85</v>
      </c>
      <c r="D39" s="184">
        <f>D40+D47+D54+D51</f>
        <v>8464477</v>
      </c>
      <c r="E39" s="176"/>
    </row>
    <row r="40" spans="1:5" ht="25.5">
      <c r="A40" s="29" t="s">
        <v>609</v>
      </c>
      <c r="B40" s="186" t="s">
        <v>123</v>
      </c>
      <c r="C40" s="182"/>
      <c r="D40" s="184">
        <f>D41+D44</f>
        <v>7217643</v>
      </c>
      <c r="E40" s="176"/>
    </row>
    <row r="41" spans="1:5" ht="12.75">
      <c r="A41" s="185" t="s">
        <v>562</v>
      </c>
      <c r="B41" s="183" t="s">
        <v>610</v>
      </c>
      <c r="C41" s="182" t="s">
        <v>85</v>
      </c>
      <c r="D41" s="184">
        <f>SUM(D42:D43)</f>
        <v>6840366</v>
      </c>
      <c r="E41" s="176"/>
    </row>
    <row r="42" spans="1:5" ht="25.5">
      <c r="A42" s="13" t="s">
        <v>212</v>
      </c>
      <c r="B42" s="183" t="s">
        <v>610</v>
      </c>
      <c r="C42" s="182">
        <v>200</v>
      </c>
      <c r="D42" s="181">
        <v>71000</v>
      </c>
      <c r="E42" s="176"/>
    </row>
    <row r="43" spans="1:5" ht="12.75">
      <c r="A43" s="13" t="s">
        <v>79</v>
      </c>
      <c r="B43" s="183" t="s">
        <v>610</v>
      </c>
      <c r="C43" s="182">
        <v>300</v>
      </c>
      <c r="D43" s="181">
        <v>6769366</v>
      </c>
      <c r="E43" s="176"/>
    </row>
    <row r="44" spans="1:5" ht="12.75">
      <c r="A44" s="185" t="s">
        <v>563</v>
      </c>
      <c r="B44" s="183" t="s">
        <v>611</v>
      </c>
      <c r="C44" s="182" t="s">
        <v>85</v>
      </c>
      <c r="D44" s="184">
        <f>SUM(D45:D46)</f>
        <v>377277</v>
      </c>
      <c r="E44" s="176"/>
    </row>
    <row r="45" spans="1:5" ht="25.5">
      <c r="A45" s="13" t="s">
        <v>212</v>
      </c>
      <c r="B45" s="183" t="s">
        <v>611</v>
      </c>
      <c r="C45" s="182">
        <v>200</v>
      </c>
      <c r="D45" s="181">
        <v>9500</v>
      </c>
      <c r="E45" s="176"/>
    </row>
    <row r="46" spans="1:5" ht="12.75">
      <c r="A46" s="13" t="s">
        <v>79</v>
      </c>
      <c r="B46" s="183" t="s">
        <v>611</v>
      </c>
      <c r="C46" s="182" t="s">
        <v>78</v>
      </c>
      <c r="D46" s="181">
        <v>367777</v>
      </c>
      <c r="E46" s="176"/>
    </row>
    <row r="47" spans="1:6" ht="25.5">
      <c r="A47" s="28" t="s">
        <v>120</v>
      </c>
      <c r="B47" s="186" t="s">
        <v>124</v>
      </c>
      <c r="C47" s="200"/>
      <c r="D47" s="184">
        <f>D48</f>
        <v>134715</v>
      </c>
      <c r="E47" s="176"/>
      <c r="F47" s="245"/>
    </row>
    <row r="48" spans="1:6" ht="29.25" customHeight="1">
      <c r="A48" s="185" t="s">
        <v>246</v>
      </c>
      <c r="B48" s="183" t="s">
        <v>125</v>
      </c>
      <c r="C48" s="182" t="s">
        <v>85</v>
      </c>
      <c r="D48" s="184">
        <f>SUM(D49:D50)</f>
        <v>134715</v>
      </c>
      <c r="E48" s="176"/>
      <c r="F48" s="245"/>
    </row>
    <row r="49" spans="1:6" ht="25.5">
      <c r="A49" s="13" t="s">
        <v>212</v>
      </c>
      <c r="B49" s="183" t="s">
        <v>125</v>
      </c>
      <c r="C49" s="182">
        <v>200</v>
      </c>
      <c r="D49" s="184">
        <v>1900</v>
      </c>
      <c r="E49" s="176"/>
      <c r="F49" s="120"/>
    </row>
    <row r="50" spans="1:6" ht="12.75">
      <c r="A50" s="13" t="s">
        <v>79</v>
      </c>
      <c r="B50" s="183" t="s">
        <v>125</v>
      </c>
      <c r="C50" s="182" t="s">
        <v>78</v>
      </c>
      <c r="D50" s="181">
        <v>132815</v>
      </c>
      <c r="E50" s="176"/>
      <c r="F50" s="120"/>
    </row>
    <row r="51" spans="1:6" ht="25.5">
      <c r="A51" s="322" t="s">
        <v>902</v>
      </c>
      <c r="B51" s="128" t="s">
        <v>904</v>
      </c>
      <c r="C51" s="127"/>
      <c r="D51" s="126">
        <f>D52</f>
        <v>826190</v>
      </c>
      <c r="E51" s="176"/>
      <c r="F51" s="120"/>
    </row>
    <row r="52" spans="1:6" ht="25.5">
      <c r="A52" s="129" t="s">
        <v>903</v>
      </c>
      <c r="B52" s="128" t="s">
        <v>905</v>
      </c>
      <c r="C52" s="127"/>
      <c r="D52" s="126">
        <f>D53</f>
        <v>826190</v>
      </c>
      <c r="E52" s="176"/>
      <c r="F52" s="120"/>
    </row>
    <row r="53" spans="1:6" ht="12.75">
      <c r="A53" s="129" t="s">
        <v>79</v>
      </c>
      <c r="B53" s="128" t="s">
        <v>905</v>
      </c>
      <c r="C53" s="127" t="s">
        <v>78</v>
      </c>
      <c r="D53" s="181">
        <v>826190</v>
      </c>
      <c r="E53" s="176"/>
      <c r="F53" s="120"/>
    </row>
    <row r="54" spans="1:6" ht="38.25">
      <c r="A54" s="31" t="s">
        <v>612</v>
      </c>
      <c r="B54" s="186" t="s">
        <v>126</v>
      </c>
      <c r="C54" s="200"/>
      <c r="D54" s="184">
        <f>D55</f>
        <v>285929</v>
      </c>
      <c r="E54" s="176"/>
      <c r="F54" s="120"/>
    </row>
    <row r="55" spans="1:6" ht="25.5">
      <c r="A55" s="185" t="s">
        <v>466</v>
      </c>
      <c r="B55" s="183" t="s">
        <v>127</v>
      </c>
      <c r="C55" s="182" t="s">
        <v>85</v>
      </c>
      <c r="D55" s="184">
        <f>SUM(D56:D57)</f>
        <v>285929</v>
      </c>
      <c r="E55" s="176"/>
      <c r="F55" s="120"/>
    </row>
    <row r="56" spans="1:6" ht="25.5">
      <c r="A56" s="13" t="s">
        <v>212</v>
      </c>
      <c r="B56" s="183" t="s">
        <v>127</v>
      </c>
      <c r="C56" s="182">
        <v>200</v>
      </c>
      <c r="D56" s="181">
        <v>2000</v>
      </c>
      <c r="E56" s="176"/>
      <c r="F56" s="120"/>
    </row>
    <row r="57" spans="1:6" ht="12.75">
      <c r="A57" s="13" t="s">
        <v>79</v>
      </c>
      <c r="B57" s="183" t="s">
        <v>127</v>
      </c>
      <c r="C57" s="182">
        <v>300</v>
      </c>
      <c r="D57" s="181">
        <v>283929</v>
      </c>
      <c r="E57" s="176"/>
      <c r="F57" s="120"/>
    </row>
    <row r="58" spans="1:6" ht="51">
      <c r="A58" s="12" t="s">
        <v>167</v>
      </c>
      <c r="B58" s="200" t="s">
        <v>7</v>
      </c>
      <c r="C58" s="200"/>
      <c r="D58" s="184">
        <f>D59+D66+D69+D74</f>
        <v>56504034</v>
      </c>
      <c r="E58" s="176"/>
      <c r="F58" s="120"/>
    </row>
    <row r="59" spans="1:6" ht="38.25">
      <c r="A59" s="29" t="s">
        <v>720</v>
      </c>
      <c r="B59" s="200" t="s">
        <v>121</v>
      </c>
      <c r="C59" s="182"/>
      <c r="D59" s="184">
        <f>D60+D62+D64</f>
        <v>43630977</v>
      </c>
      <c r="E59" s="176"/>
      <c r="F59" s="120"/>
    </row>
    <row r="60" spans="1:6" ht="12.75">
      <c r="A60" s="28" t="s">
        <v>528</v>
      </c>
      <c r="B60" s="183" t="s">
        <v>721</v>
      </c>
      <c r="C60" s="182"/>
      <c r="D60" s="184">
        <f>D61</f>
        <v>1839382</v>
      </c>
      <c r="E60" s="176"/>
      <c r="F60" s="120"/>
    </row>
    <row r="61" spans="1:6" ht="12.75">
      <c r="A61" s="13" t="s">
        <v>79</v>
      </c>
      <c r="B61" s="183" t="s">
        <v>721</v>
      </c>
      <c r="C61" s="182">
        <v>300</v>
      </c>
      <c r="D61" s="181">
        <v>1839382</v>
      </c>
      <c r="E61" s="176"/>
      <c r="F61" s="120"/>
    </row>
    <row r="62" spans="1:6" ht="25.5">
      <c r="A62" s="141" t="s">
        <v>484</v>
      </c>
      <c r="B62" s="183" t="s">
        <v>485</v>
      </c>
      <c r="C62" s="182"/>
      <c r="D62" s="181">
        <f>D63</f>
        <v>41186977</v>
      </c>
      <c r="E62" s="176"/>
      <c r="F62" s="120"/>
    </row>
    <row r="63" spans="1:6" ht="12.75">
      <c r="A63" s="13" t="s">
        <v>79</v>
      </c>
      <c r="B63" s="183" t="s">
        <v>485</v>
      </c>
      <c r="C63" s="182">
        <v>300</v>
      </c>
      <c r="D63" s="181">
        <v>41186977</v>
      </c>
      <c r="E63" s="176"/>
      <c r="F63" s="120"/>
    </row>
    <row r="64" spans="1:6" ht="25.5">
      <c r="A64" s="141" t="s">
        <v>486</v>
      </c>
      <c r="B64" s="183" t="s">
        <v>487</v>
      </c>
      <c r="C64" s="182"/>
      <c r="D64" s="181">
        <f>D65</f>
        <v>604618</v>
      </c>
      <c r="E64" s="176"/>
      <c r="F64" s="120"/>
    </row>
    <row r="65" spans="1:6" ht="25.5">
      <c r="A65" s="13" t="s">
        <v>212</v>
      </c>
      <c r="B65" s="183" t="s">
        <v>487</v>
      </c>
      <c r="C65" s="182">
        <v>200</v>
      </c>
      <c r="D65" s="181">
        <v>604618</v>
      </c>
      <c r="E65" s="176"/>
      <c r="F65" s="120"/>
    </row>
    <row r="66" spans="1:6" ht="38.25">
      <c r="A66" s="29" t="s">
        <v>122</v>
      </c>
      <c r="B66" s="186" t="s">
        <v>722</v>
      </c>
      <c r="C66" s="182"/>
      <c r="D66" s="184">
        <f>D67</f>
        <v>6071609</v>
      </c>
      <c r="E66" s="176"/>
      <c r="F66" s="120"/>
    </row>
    <row r="67" spans="1:6" ht="25.5">
      <c r="A67" s="185" t="s">
        <v>564</v>
      </c>
      <c r="B67" s="183" t="s">
        <v>723</v>
      </c>
      <c r="C67" s="182" t="s">
        <v>85</v>
      </c>
      <c r="D67" s="184">
        <f>SUM(D68:D68)</f>
        <v>6071609</v>
      </c>
      <c r="E67" s="176"/>
      <c r="F67" s="120"/>
    </row>
    <row r="68" spans="1:6" ht="12.75">
      <c r="A68" s="13" t="s">
        <v>79</v>
      </c>
      <c r="B68" s="183" t="s">
        <v>723</v>
      </c>
      <c r="C68" s="182">
        <v>300</v>
      </c>
      <c r="D68" s="181">
        <v>6071609</v>
      </c>
      <c r="E68" s="176"/>
      <c r="F68" s="120"/>
    </row>
    <row r="69" spans="1:6" ht="38.25">
      <c r="A69" s="13" t="s">
        <v>561</v>
      </c>
      <c r="B69" s="200" t="s">
        <v>568</v>
      </c>
      <c r="C69" s="182"/>
      <c r="D69" s="184">
        <f>D70</f>
        <v>1004100</v>
      </c>
      <c r="E69" s="176"/>
      <c r="F69" s="243"/>
    </row>
    <row r="70" spans="1:6" ht="38.25">
      <c r="A70" s="185" t="s">
        <v>266</v>
      </c>
      <c r="B70" s="183" t="s">
        <v>426</v>
      </c>
      <c r="C70" s="182"/>
      <c r="D70" s="184">
        <f>SUM(D71:D73)</f>
        <v>1004100</v>
      </c>
      <c r="E70" s="176"/>
      <c r="F70" s="243"/>
    </row>
    <row r="71" spans="1:6" ht="51">
      <c r="A71" s="13" t="s">
        <v>698</v>
      </c>
      <c r="B71" s="183" t="s">
        <v>426</v>
      </c>
      <c r="C71" s="182">
        <v>100</v>
      </c>
      <c r="D71" s="181">
        <v>941141.1</v>
      </c>
      <c r="E71" s="176"/>
      <c r="F71" s="243"/>
    </row>
    <row r="72" spans="1:6" ht="25.5">
      <c r="A72" s="13" t="s">
        <v>212</v>
      </c>
      <c r="B72" s="183" t="s">
        <v>426</v>
      </c>
      <c r="C72" s="182" t="s">
        <v>72</v>
      </c>
      <c r="D72" s="181">
        <v>62558.9</v>
      </c>
      <c r="E72" s="176"/>
      <c r="F72" s="243"/>
    </row>
    <row r="73" spans="1:6" ht="12.75">
      <c r="A73" s="13" t="s">
        <v>75</v>
      </c>
      <c r="B73" s="179" t="s">
        <v>426</v>
      </c>
      <c r="C73" s="178">
        <v>800</v>
      </c>
      <c r="D73" s="177">
        <v>400</v>
      </c>
      <c r="E73" s="176"/>
      <c r="F73" s="120"/>
    </row>
    <row r="74" spans="1:6" ht="25.5">
      <c r="A74" s="377" t="s">
        <v>882</v>
      </c>
      <c r="B74" s="128" t="s">
        <v>866</v>
      </c>
      <c r="C74" s="127"/>
      <c r="D74" s="138">
        <f>D75</f>
        <v>5797348</v>
      </c>
      <c r="E74" s="176"/>
      <c r="F74" s="120"/>
    </row>
    <row r="75" spans="1:6" ht="38.25">
      <c r="A75" s="377" t="s">
        <v>862</v>
      </c>
      <c r="B75" s="128" t="s">
        <v>867</v>
      </c>
      <c r="C75" s="127"/>
      <c r="D75" s="138">
        <f>D77+D76</f>
        <v>5797348</v>
      </c>
      <c r="E75" s="176"/>
      <c r="F75" s="120"/>
    </row>
    <row r="76" spans="1:6" ht="25.5">
      <c r="A76" s="13" t="s">
        <v>212</v>
      </c>
      <c r="B76" s="128" t="s">
        <v>867</v>
      </c>
      <c r="C76" s="127">
        <v>200</v>
      </c>
      <c r="D76" s="138">
        <v>95157</v>
      </c>
      <c r="E76" s="176"/>
      <c r="F76" s="120"/>
    </row>
    <row r="77" spans="1:6" ht="25.5">
      <c r="A77" s="377" t="s">
        <v>205</v>
      </c>
      <c r="B77" s="128" t="s">
        <v>867</v>
      </c>
      <c r="C77" s="127">
        <v>400</v>
      </c>
      <c r="D77" s="138">
        <v>5702191</v>
      </c>
      <c r="E77" s="176"/>
      <c r="F77" s="120"/>
    </row>
    <row r="78" spans="1:6" ht="29.25" customHeight="1">
      <c r="A78" s="191" t="s">
        <v>261</v>
      </c>
      <c r="B78" s="248" t="s">
        <v>530</v>
      </c>
      <c r="C78" s="159" t="s">
        <v>85</v>
      </c>
      <c r="D78" s="158">
        <f>D79+D93+D143+D153</f>
        <v>439183297.11</v>
      </c>
      <c r="E78" s="176"/>
      <c r="F78" s="120"/>
    </row>
    <row r="79" spans="1:6" ht="38.25">
      <c r="A79" s="12" t="s">
        <v>225</v>
      </c>
      <c r="B79" s="183" t="s">
        <v>293</v>
      </c>
      <c r="C79" s="182" t="s">
        <v>85</v>
      </c>
      <c r="D79" s="184">
        <f>D80+D83+D88</f>
        <v>11461791</v>
      </c>
      <c r="E79" s="176"/>
      <c r="F79" s="120"/>
    </row>
    <row r="80" spans="1:6" ht="51">
      <c r="A80" s="28" t="s">
        <v>435</v>
      </c>
      <c r="B80" s="183" t="s">
        <v>294</v>
      </c>
      <c r="C80" s="182"/>
      <c r="D80" s="184">
        <f>D81</f>
        <v>236023</v>
      </c>
      <c r="E80" s="176"/>
      <c r="F80" s="120"/>
    </row>
    <row r="81" spans="1:6" ht="38.25">
      <c r="A81" s="13" t="s">
        <v>569</v>
      </c>
      <c r="B81" s="183" t="s">
        <v>295</v>
      </c>
      <c r="C81" s="182"/>
      <c r="D81" s="184">
        <f>D82</f>
        <v>236023</v>
      </c>
      <c r="E81" s="176"/>
      <c r="F81" s="120"/>
    </row>
    <row r="82" spans="1:6" ht="51">
      <c r="A82" s="13" t="s">
        <v>698</v>
      </c>
      <c r="B82" s="183" t="s">
        <v>295</v>
      </c>
      <c r="C82" s="182">
        <v>100</v>
      </c>
      <c r="D82" s="181">
        <v>236023</v>
      </c>
      <c r="E82" s="176"/>
      <c r="F82" s="120"/>
    </row>
    <row r="83" spans="1:6" ht="39" customHeight="1">
      <c r="A83" s="33" t="s">
        <v>310</v>
      </c>
      <c r="B83" s="183" t="s">
        <v>297</v>
      </c>
      <c r="C83" s="182"/>
      <c r="D83" s="184">
        <f>D84</f>
        <v>9669393</v>
      </c>
      <c r="E83" s="176"/>
      <c r="F83" s="120"/>
    </row>
    <row r="84" spans="1:6" ht="25.5">
      <c r="A84" s="185" t="s">
        <v>468</v>
      </c>
      <c r="B84" s="183" t="s">
        <v>298</v>
      </c>
      <c r="C84" s="182" t="s">
        <v>85</v>
      </c>
      <c r="D84" s="184">
        <f>SUM(D85:D87)</f>
        <v>9669393</v>
      </c>
      <c r="E84" s="176"/>
      <c r="F84" s="120"/>
    </row>
    <row r="85" spans="1:6" ht="51">
      <c r="A85" s="13" t="s">
        <v>698</v>
      </c>
      <c r="B85" s="183" t="s">
        <v>298</v>
      </c>
      <c r="C85" s="182" t="s">
        <v>565</v>
      </c>
      <c r="D85" s="181">
        <v>7792459</v>
      </c>
      <c r="E85" s="176"/>
      <c r="F85" s="120"/>
    </row>
    <row r="86" spans="1:6" ht="25.5">
      <c r="A86" s="13" t="s">
        <v>212</v>
      </c>
      <c r="B86" s="183" t="s">
        <v>298</v>
      </c>
      <c r="C86" s="182" t="s">
        <v>72</v>
      </c>
      <c r="D86" s="181">
        <v>1871644</v>
      </c>
      <c r="E86" s="176"/>
      <c r="F86" s="120"/>
    </row>
    <row r="87" spans="1:6" ht="12.75">
      <c r="A87" s="13" t="s">
        <v>75</v>
      </c>
      <c r="B87" s="183" t="s">
        <v>298</v>
      </c>
      <c r="C87" s="182">
        <v>800</v>
      </c>
      <c r="D87" s="181">
        <v>5290</v>
      </c>
      <c r="E87" s="176"/>
      <c r="F87" s="120"/>
    </row>
    <row r="88" spans="1:6" ht="38.25">
      <c r="A88" s="185" t="s">
        <v>604</v>
      </c>
      <c r="B88" s="183" t="s">
        <v>606</v>
      </c>
      <c r="C88" s="182"/>
      <c r="D88" s="184">
        <f>D89</f>
        <v>1556375</v>
      </c>
      <c r="E88" s="176"/>
      <c r="F88" s="120"/>
    </row>
    <row r="89" spans="1:6" ht="25.5">
      <c r="A89" s="185" t="s">
        <v>694</v>
      </c>
      <c r="B89" s="183" t="s">
        <v>607</v>
      </c>
      <c r="C89" s="182"/>
      <c r="D89" s="184">
        <f>SUM(D90:D92)</f>
        <v>1556375</v>
      </c>
      <c r="E89" s="176"/>
      <c r="F89" s="120"/>
    </row>
    <row r="90" spans="1:6" ht="51">
      <c r="A90" s="13" t="s">
        <v>698</v>
      </c>
      <c r="B90" s="183" t="s">
        <v>607</v>
      </c>
      <c r="C90" s="182" t="s">
        <v>565</v>
      </c>
      <c r="D90" s="181">
        <v>1359675</v>
      </c>
      <c r="E90" s="176"/>
      <c r="F90" s="120"/>
    </row>
    <row r="91" spans="1:5" ht="25.5">
      <c r="A91" s="13" t="s">
        <v>212</v>
      </c>
      <c r="B91" s="183" t="s">
        <v>607</v>
      </c>
      <c r="C91" s="182" t="s">
        <v>72</v>
      </c>
      <c r="D91" s="181">
        <v>196700</v>
      </c>
      <c r="E91" s="176"/>
    </row>
    <row r="92" spans="1:5" ht="12.75">
      <c r="A92" s="13" t="s">
        <v>75</v>
      </c>
      <c r="B92" s="183" t="s">
        <v>607</v>
      </c>
      <c r="C92" s="182">
        <v>800</v>
      </c>
      <c r="D92" s="181"/>
      <c r="E92" s="176"/>
    </row>
    <row r="93" spans="1:5" ht="38.25">
      <c r="A93" s="12" t="s">
        <v>262</v>
      </c>
      <c r="B93" s="186" t="s">
        <v>531</v>
      </c>
      <c r="C93" s="182" t="s">
        <v>85</v>
      </c>
      <c r="D93" s="184">
        <f>D94+D104+D108+D115+D135+D128</f>
        <v>410444474.11</v>
      </c>
      <c r="E93" s="176"/>
    </row>
    <row r="94" spans="1:5" ht="25.5">
      <c r="A94" s="28" t="s">
        <v>430</v>
      </c>
      <c r="B94" s="183" t="s">
        <v>532</v>
      </c>
      <c r="C94" s="182"/>
      <c r="D94" s="184">
        <f>D95+D98+D102</f>
        <v>100789702.11</v>
      </c>
      <c r="E94" s="176"/>
    </row>
    <row r="95" spans="1:5" ht="76.5">
      <c r="A95" s="13" t="s">
        <v>282</v>
      </c>
      <c r="B95" s="183" t="s">
        <v>283</v>
      </c>
      <c r="C95" s="182" t="s">
        <v>85</v>
      </c>
      <c r="D95" s="184">
        <f>SUM(D96:D97)</f>
        <v>55488082</v>
      </c>
      <c r="E95" s="176"/>
    </row>
    <row r="96" spans="1:5" ht="51">
      <c r="A96" s="13" t="s">
        <v>698</v>
      </c>
      <c r="B96" s="183" t="s">
        <v>283</v>
      </c>
      <c r="C96" s="182" t="s">
        <v>565</v>
      </c>
      <c r="D96" s="181">
        <v>55063202</v>
      </c>
      <c r="E96" s="176"/>
    </row>
    <row r="97" spans="1:5" ht="25.5">
      <c r="A97" s="13" t="s">
        <v>212</v>
      </c>
      <c r="B97" s="183" t="s">
        <v>283</v>
      </c>
      <c r="C97" s="182" t="s">
        <v>72</v>
      </c>
      <c r="D97" s="181">
        <v>424880</v>
      </c>
      <c r="E97" s="176"/>
    </row>
    <row r="98" spans="1:5" ht="25.5">
      <c r="A98" s="185" t="s">
        <v>468</v>
      </c>
      <c r="B98" s="183" t="s">
        <v>284</v>
      </c>
      <c r="C98" s="182"/>
      <c r="D98" s="184">
        <f>SUM(D99:D101)</f>
        <v>45301620.11</v>
      </c>
      <c r="E98" s="176"/>
    </row>
    <row r="99" spans="1:5" ht="51">
      <c r="A99" s="13" t="s">
        <v>698</v>
      </c>
      <c r="B99" s="183" t="s">
        <v>284</v>
      </c>
      <c r="C99" s="182">
        <v>100</v>
      </c>
      <c r="D99" s="181">
        <v>18469977</v>
      </c>
      <c r="E99" s="176"/>
    </row>
    <row r="100" spans="1:5" ht="25.5">
      <c r="A100" s="13" t="s">
        <v>212</v>
      </c>
      <c r="B100" s="183" t="s">
        <v>284</v>
      </c>
      <c r="C100" s="182">
        <v>200</v>
      </c>
      <c r="D100" s="181">
        <v>24551812.11</v>
      </c>
      <c r="E100" s="176"/>
    </row>
    <row r="101" spans="1:5" ht="12.75">
      <c r="A101" s="13" t="s">
        <v>75</v>
      </c>
      <c r="B101" s="183" t="s">
        <v>284</v>
      </c>
      <c r="C101" s="182">
        <v>800</v>
      </c>
      <c r="D101" s="181">
        <v>2279831</v>
      </c>
      <c r="E101" s="176"/>
    </row>
    <row r="102" spans="1:5" ht="38.25" hidden="1">
      <c r="A102" s="13" t="s">
        <v>151</v>
      </c>
      <c r="B102" s="183" t="s">
        <v>147</v>
      </c>
      <c r="C102" s="182"/>
      <c r="D102" s="181">
        <f>D103</f>
        <v>0</v>
      </c>
      <c r="E102" s="176"/>
    </row>
    <row r="103" spans="1:5" ht="25.5" hidden="1">
      <c r="A103" s="13" t="s">
        <v>212</v>
      </c>
      <c r="B103" s="183" t="s">
        <v>147</v>
      </c>
      <c r="C103" s="182">
        <v>200</v>
      </c>
      <c r="D103" s="181"/>
      <c r="E103" s="176"/>
    </row>
    <row r="104" spans="1:5" ht="25.5">
      <c r="A104" s="28" t="s">
        <v>233</v>
      </c>
      <c r="B104" s="183" t="s">
        <v>128</v>
      </c>
      <c r="C104" s="182"/>
      <c r="D104" s="184">
        <f>D105</f>
        <v>5116098</v>
      </c>
      <c r="E104" s="176"/>
    </row>
    <row r="105" spans="1:5" ht="12.75">
      <c r="A105" s="13" t="s">
        <v>307</v>
      </c>
      <c r="B105" s="183" t="s">
        <v>227</v>
      </c>
      <c r="C105" s="182"/>
      <c r="D105" s="184">
        <f>SUM(D106:D107)</f>
        <v>5116098</v>
      </c>
      <c r="E105" s="176"/>
    </row>
    <row r="106" spans="1:5" ht="25.5">
      <c r="A106" s="13" t="s">
        <v>212</v>
      </c>
      <c r="B106" s="183" t="s">
        <v>227</v>
      </c>
      <c r="C106" s="182">
        <v>200</v>
      </c>
      <c r="D106" s="181">
        <v>20382</v>
      </c>
      <c r="E106" s="176"/>
    </row>
    <row r="107" spans="1:6" ht="12.75">
      <c r="A107" s="13" t="s">
        <v>79</v>
      </c>
      <c r="B107" s="183" t="s">
        <v>227</v>
      </c>
      <c r="C107" s="182">
        <v>300</v>
      </c>
      <c r="D107" s="181">
        <v>5095716</v>
      </c>
      <c r="E107" s="176"/>
      <c r="F107" s="245"/>
    </row>
    <row r="108" spans="1:5" ht="25.5">
      <c r="A108" s="28" t="s">
        <v>432</v>
      </c>
      <c r="B108" s="183" t="s">
        <v>285</v>
      </c>
      <c r="C108" s="182"/>
      <c r="D108" s="184">
        <f>D109+D111+D113</f>
        <v>124754386</v>
      </c>
      <c r="E108" s="176"/>
    </row>
    <row r="109" spans="1:5" ht="78" customHeight="1">
      <c r="A109" s="13" t="s">
        <v>648</v>
      </c>
      <c r="B109" s="183" t="s">
        <v>286</v>
      </c>
      <c r="C109" s="182" t="s">
        <v>85</v>
      </c>
      <c r="D109" s="184">
        <f>D110</f>
        <v>96274514</v>
      </c>
      <c r="E109" s="176"/>
    </row>
    <row r="110" spans="1:5" ht="25.5">
      <c r="A110" s="13" t="s">
        <v>88</v>
      </c>
      <c r="B110" s="183" t="s">
        <v>286</v>
      </c>
      <c r="C110" s="182">
        <v>600</v>
      </c>
      <c r="D110" s="181">
        <v>96274514</v>
      </c>
      <c r="E110" s="176"/>
    </row>
    <row r="111" spans="1:5" ht="25.5">
      <c r="A111" s="185" t="s">
        <v>468</v>
      </c>
      <c r="B111" s="183" t="s">
        <v>287</v>
      </c>
      <c r="C111" s="182"/>
      <c r="D111" s="184">
        <f>D112</f>
        <v>22006560</v>
      </c>
      <c r="E111" s="176"/>
    </row>
    <row r="112" spans="1:5" ht="25.5">
      <c r="A112" s="13" t="s">
        <v>88</v>
      </c>
      <c r="B112" s="183" t="s">
        <v>287</v>
      </c>
      <c r="C112" s="182">
        <v>600</v>
      </c>
      <c r="D112" s="181">
        <v>22006560</v>
      </c>
      <c r="E112" s="176"/>
    </row>
    <row r="113" spans="1:5" ht="38.25">
      <c r="A113" s="13" t="s">
        <v>483</v>
      </c>
      <c r="B113" s="211" t="s">
        <v>906</v>
      </c>
      <c r="C113" s="182"/>
      <c r="D113" s="181">
        <f>D114</f>
        <v>6473312</v>
      </c>
      <c r="E113" s="176"/>
    </row>
    <row r="114" spans="1:5" ht="25.5">
      <c r="A114" s="13" t="s">
        <v>88</v>
      </c>
      <c r="B114" s="211" t="s">
        <v>906</v>
      </c>
      <c r="C114" s="182">
        <v>600</v>
      </c>
      <c r="D114" s="138">
        <v>6473312</v>
      </c>
      <c r="E114" s="176"/>
    </row>
    <row r="115" spans="1:5" ht="25.5">
      <c r="A115" s="28" t="s">
        <v>433</v>
      </c>
      <c r="B115" s="186" t="s">
        <v>288</v>
      </c>
      <c r="C115" s="182"/>
      <c r="D115" s="184">
        <f>D117+D119+D123+D125+D127+D121+D139+D142</f>
        <v>20711818</v>
      </c>
      <c r="E115" s="176"/>
    </row>
    <row r="116" spans="1:5" ht="38.25">
      <c r="A116" s="26" t="s">
        <v>371</v>
      </c>
      <c r="B116" s="183" t="s">
        <v>372</v>
      </c>
      <c r="C116" s="182"/>
      <c r="D116" s="184">
        <f>D117</f>
        <v>6304413</v>
      </c>
      <c r="E116" s="176"/>
    </row>
    <row r="117" spans="1:5" ht="25.5">
      <c r="A117" s="13" t="s">
        <v>88</v>
      </c>
      <c r="B117" s="183" t="s">
        <v>372</v>
      </c>
      <c r="C117" s="182">
        <v>600</v>
      </c>
      <c r="D117" s="184">
        <v>6304413</v>
      </c>
      <c r="E117" s="176"/>
    </row>
    <row r="118" spans="1:5" ht="51">
      <c r="A118" s="17" t="s">
        <v>709</v>
      </c>
      <c r="B118" s="211" t="s">
        <v>710</v>
      </c>
      <c r="C118" s="182"/>
      <c r="D118" s="184">
        <f>D119</f>
        <v>318065</v>
      </c>
      <c r="E118" s="176"/>
    </row>
    <row r="119" spans="1:5" ht="25.5">
      <c r="A119" s="212" t="s">
        <v>88</v>
      </c>
      <c r="B119" s="211" t="s">
        <v>710</v>
      </c>
      <c r="C119" s="182">
        <v>600</v>
      </c>
      <c r="D119" s="184">
        <v>318065</v>
      </c>
      <c r="E119" s="176"/>
    </row>
    <row r="120" spans="1:5" ht="25.5" hidden="1">
      <c r="A120" s="49" t="s">
        <v>682</v>
      </c>
      <c r="B120" s="128" t="s">
        <v>683</v>
      </c>
      <c r="C120" s="127"/>
      <c r="D120" s="184">
        <f>D121</f>
        <v>0</v>
      </c>
      <c r="E120" s="176"/>
    </row>
    <row r="121" spans="1:5" ht="25.5" hidden="1">
      <c r="A121" s="139" t="s">
        <v>88</v>
      </c>
      <c r="B121" s="128" t="s">
        <v>683</v>
      </c>
      <c r="C121" s="127">
        <v>600</v>
      </c>
      <c r="D121" s="184"/>
      <c r="E121" s="176"/>
    </row>
    <row r="122" spans="1:5" ht="51">
      <c r="A122" s="25" t="s">
        <v>279</v>
      </c>
      <c r="B122" s="211" t="s">
        <v>289</v>
      </c>
      <c r="C122" s="216"/>
      <c r="D122" s="184">
        <f>D123</f>
        <v>2127215</v>
      </c>
      <c r="E122" s="176"/>
    </row>
    <row r="123" spans="1:5" ht="25.5">
      <c r="A123" s="212" t="s">
        <v>88</v>
      </c>
      <c r="B123" s="211" t="s">
        <v>289</v>
      </c>
      <c r="C123" s="216">
        <v>600</v>
      </c>
      <c r="D123" s="181">
        <v>2127215</v>
      </c>
      <c r="E123" s="176"/>
    </row>
    <row r="124" spans="1:5" ht="25.5">
      <c r="A124" s="185" t="s">
        <v>468</v>
      </c>
      <c r="B124" s="183" t="s">
        <v>370</v>
      </c>
      <c r="C124" s="182"/>
      <c r="D124" s="184">
        <f>D125</f>
        <v>4636171</v>
      </c>
      <c r="E124" s="176"/>
    </row>
    <row r="125" spans="1:5" ht="25.5">
      <c r="A125" s="212" t="s">
        <v>88</v>
      </c>
      <c r="B125" s="183" t="s">
        <v>370</v>
      </c>
      <c r="C125" s="182">
        <v>600</v>
      </c>
      <c r="D125" s="181">
        <v>4636171</v>
      </c>
      <c r="E125" s="176"/>
    </row>
    <row r="126" spans="1:5" ht="12.75">
      <c r="A126" s="23" t="s">
        <v>258</v>
      </c>
      <c r="B126" s="183" t="s">
        <v>257</v>
      </c>
      <c r="C126" s="182"/>
      <c r="D126" s="181">
        <f>D127</f>
        <v>29000</v>
      </c>
      <c r="E126" s="176"/>
    </row>
    <row r="127" spans="1:5" ht="12.75">
      <c r="A127" s="13" t="s">
        <v>79</v>
      </c>
      <c r="B127" s="183" t="s">
        <v>257</v>
      </c>
      <c r="C127" s="182">
        <v>300</v>
      </c>
      <c r="D127" s="181">
        <f>24000+5000</f>
        <v>29000</v>
      </c>
      <c r="E127" s="176"/>
    </row>
    <row r="128" spans="1:5" ht="76.5">
      <c r="A128" s="28" t="s">
        <v>910</v>
      </c>
      <c r="B128" s="128" t="s">
        <v>912</v>
      </c>
      <c r="C128" s="127"/>
      <c r="D128" s="138">
        <f>D129+D133+D131</f>
        <v>159072470</v>
      </c>
      <c r="E128" s="176"/>
    </row>
    <row r="129" spans="1:5" ht="51">
      <c r="A129" s="377" t="s">
        <v>980</v>
      </c>
      <c r="B129" s="128" t="s">
        <v>982</v>
      </c>
      <c r="C129" s="127"/>
      <c r="D129" s="138">
        <f>D130</f>
        <v>153886322</v>
      </c>
      <c r="E129" s="176"/>
    </row>
    <row r="130" spans="1:5" ht="25.5">
      <c r="A130" s="139" t="s">
        <v>88</v>
      </c>
      <c r="B130" s="128" t="s">
        <v>982</v>
      </c>
      <c r="C130" s="127" t="s">
        <v>77</v>
      </c>
      <c r="D130" s="138">
        <v>153886322</v>
      </c>
      <c r="E130" s="176"/>
    </row>
    <row r="131" spans="1:5" ht="25.5">
      <c r="A131" s="139" t="s">
        <v>918</v>
      </c>
      <c r="B131" s="128" t="s">
        <v>919</v>
      </c>
      <c r="C131" s="127"/>
      <c r="D131" s="138">
        <f>D132</f>
        <v>5082425</v>
      </c>
      <c r="E131" s="176"/>
    </row>
    <row r="132" spans="1:5" ht="25.5">
      <c r="A132" s="139" t="s">
        <v>88</v>
      </c>
      <c r="B132" s="128" t="s">
        <v>919</v>
      </c>
      <c r="C132" s="127">
        <v>600</v>
      </c>
      <c r="D132" s="138">
        <v>5082425</v>
      </c>
      <c r="E132" s="176"/>
    </row>
    <row r="133" spans="1:5" ht="25.5">
      <c r="A133" s="397" t="s">
        <v>911</v>
      </c>
      <c r="B133" s="128" t="s">
        <v>913</v>
      </c>
      <c r="C133" s="127"/>
      <c r="D133" s="138">
        <f>D134</f>
        <v>103723</v>
      </c>
      <c r="E133" s="176"/>
    </row>
    <row r="134" spans="1:5" ht="25.5">
      <c r="A134" s="139" t="s">
        <v>88</v>
      </c>
      <c r="B134" s="128" t="s">
        <v>913</v>
      </c>
      <c r="C134" s="127" t="s">
        <v>77</v>
      </c>
      <c r="D134" s="138">
        <v>103723</v>
      </c>
      <c r="E134" s="176"/>
    </row>
    <row r="135" spans="1:6" ht="25.5" hidden="1">
      <c r="A135" s="147" t="s">
        <v>468</v>
      </c>
      <c r="B135" s="128" t="s">
        <v>838</v>
      </c>
      <c r="C135" s="182"/>
      <c r="D135" s="181">
        <f>D136</f>
        <v>0</v>
      </c>
      <c r="E135" s="176"/>
      <c r="F135" s="120"/>
    </row>
    <row r="136" spans="1:6" ht="25.5" hidden="1">
      <c r="A136" s="145" t="s">
        <v>88</v>
      </c>
      <c r="B136" s="128" t="s">
        <v>838</v>
      </c>
      <c r="C136" s="182">
        <v>600</v>
      </c>
      <c r="D136" s="181"/>
      <c r="E136" s="176"/>
      <c r="F136" s="120"/>
    </row>
    <row r="137" spans="1:6" ht="12.75">
      <c r="A137" s="376" t="s">
        <v>713</v>
      </c>
      <c r="B137" s="149" t="s">
        <v>315</v>
      </c>
      <c r="C137" s="148"/>
      <c r="D137" s="181">
        <f>D138</f>
        <v>3423556</v>
      </c>
      <c r="E137" s="176"/>
      <c r="F137" s="120"/>
    </row>
    <row r="138" spans="1:6" ht="51">
      <c r="A138" s="376" t="s">
        <v>888</v>
      </c>
      <c r="B138" s="149" t="s">
        <v>316</v>
      </c>
      <c r="C138" s="148"/>
      <c r="D138" s="181">
        <f>D139</f>
        <v>3423556</v>
      </c>
      <c r="E138" s="176"/>
      <c r="F138" s="120"/>
    </row>
    <row r="139" spans="1:6" ht="25.5">
      <c r="A139" s="292" t="s">
        <v>88</v>
      </c>
      <c r="B139" s="149" t="s">
        <v>316</v>
      </c>
      <c r="C139" s="148">
        <v>600</v>
      </c>
      <c r="D139" s="181">
        <v>3423556</v>
      </c>
      <c r="E139" s="176"/>
      <c r="F139" s="120"/>
    </row>
    <row r="140" spans="1:6" ht="12.75">
      <c r="A140" s="376" t="s">
        <v>105</v>
      </c>
      <c r="B140" s="149" t="s">
        <v>60</v>
      </c>
      <c r="C140" s="148"/>
      <c r="D140" s="181">
        <f>D141</f>
        <v>3873398</v>
      </c>
      <c r="E140" s="176"/>
      <c r="F140" s="120"/>
    </row>
    <row r="141" spans="1:6" ht="38.25">
      <c r="A141" s="376" t="s">
        <v>150</v>
      </c>
      <c r="B141" s="149" t="s">
        <v>61</v>
      </c>
      <c r="C141" s="148"/>
      <c r="D141" s="181">
        <f>D142</f>
        <v>3873398</v>
      </c>
      <c r="E141" s="176"/>
      <c r="F141" s="120"/>
    </row>
    <row r="142" spans="1:6" ht="25.5">
      <c r="A142" s="292" t="s">
        <v>88</v>
      </c>
      <c r="B142" s="149" t="s">
        <v>61</v>
      </c>
      <c r="C142" s="148">
        <v>600</v>
      </c>
      <c r="D142" s="181">
        <v>3873398</v>
      </c>
      <c r="E142" s="176"/>
      <c r="F142" s="120"/>
    </row>
    <row r="143" spans="1:6" ht="38.25">
      <c r="A143" s="12" t="s">
        <v>5</v>
      </c>
      <c r="B143" s="186" t="s">
        <v>290</v>
      </c>
      <c r="C143" s="182" t="s">
        <v>85</v>
      </c>
      <c r="D143" s="184">
        <f>D144+D151+D147</f>
        <v>17277032</v>
      </c>
      <c r="E143" s="176"/>
      <c r="F143" s="120"/>
    </row>
    <row r="144" spans="1:6" ht="25.5">
      <c r="A144" s="28" t="s">
        <v>434</v>
      </c>
      <c r="B144" s="183" t="s">
        <v>291</v>
      </c>
      <c r="C144" s="182"/>
      <c r="D144" s="184">
        <f>D145</f>
        <v>13465532</v>
      </c>
      <c r="E144" s="176"/>
      <c r="F144" s="120"/>
    </row>
    <row r="145" spans="1:6" ht="25.5">
      <c r="A145" s="185" t="s">
        <v>468</v>
      </c>
      <c r="B145" s="183" t="s">
        <v>292</v>
      </c>
      <c r="C145" s="182" t="s">
        <v>85</v>
      </c>
      <c r="D145" s="184">
        <f>D146</f>
        <v>13465532</v>
      </c>
      <c r="E145" s="176"/>
      <c r="F145" s="120"/>
    </row>
    <row r="146" spans="1:6" ht="25.5">
      <c r="A146" s="212" t="s">
        <v>88</v>
      </c>
      <c r="B146" s="183" t="s">
        <v>292</v>
      </c>
      <c r="C146" s="182">
        <v>600</v>
      </c>
      <c r="D146" s="181">
        <v>13465532</v>
      </c>
      <c r="E146" s="176"/>
      <c r="F146" s="120"/>
    </row>
    <row r="147" spans="1:6" ht="38.25">
      <c r="A147" s="139" t="s">
        <v>916</v>
      </c>
      <c r="B147" s="128" t="s">
        <v>914</v>
      </c>
      <c r="C147" s="182"/>
      <c r="D147" s="181">
        <f>D148</f>
        <v>3811500</v>
      </c>
      <c r="E147" s="176"/>
      <c r="F147" s="120"/>
    </row>
    <row r="148" spans="1:6" ht="12.75">
      <c r="A148" s="139" t="s">
        <v>198</v>
      </c>
      <c r="B148" s="128" t="s">
        <v>915</v>
      </c>
      <c r="C148" s="182"/>
      <c r="D148" s="181">
        <f>D149</f>
        <v>3811500</v>
      </c>
      <c r="E148" s="176"/>
      <c r="F148" s="120"/>
    </row>
    <row r="149" spans="1:6" ht="25.5">
      <c r="A149" s="139" t="s">
        <v>88</v>
      </c>
      <c r="B149" s="128" t="s">
        <v>915</v>
      </c>
      <c r="C149" s="182">
        <v>600</v>
      </c>
      <c r="D149" s="181">
        <v>3811500</v>
      </c>
      <c r="E149" s="176"/>
      <c r="F149" s="120"/>
    </row>
    <row r="150" spans="1:6" ht="12.75" hidden="1">
      <c r="A150" s="217" t="s">
        <v>104</v>
      </c>
      <c r="B150" s="183" t="s">
        <v>666</v>
      </c>
      <c r="C150" s="216"/>
      <c r="D150" s="184">
        <f>D151</f>
        <v>0</v>
      </c>
      <c r="E150" s="176"/>
      <c r="F150" s="120"/>
    </row>
    <row r="151" spans="1:6" ht="38.25" hidden="1">
      <c r="A151" s="217" t="s">
        <v>729</v>
      </c>
      <c r="B151" s="183" t="s">
        <v>667</v>
      </c>
      <c r="C151" s="216"/>
      <c r="D151" s="184">
        <f>D152</f>
        <v>0</v>
      </c>
      <c r="E151" s="176"/>
      <c r="F151" s="120"/>
    </row>
    <row r="152" spans="1:6" ht="25.5" hidden="1">
      <c r="A152" s="139" t="s">
        <v>88</v>
      </c>
      <c r="B152" s="128" t="s">
        <v>667</v>
      </c>
      <c r="C152" s="127">
        <v>600</v>
      </c>
      <c r="D152" s="138"/>
      <c r="E152" s="176"/>
      <c r="F152" s="120"/>
    </row>
    <row r="153" spans="1:6" ht="63.75" hidden="1">
      <c r="A153" s="70" t="s">
        <v>439</v>
      </c>
      <c r="B153" s="140" t="s">
        <v>440</v>
      </c>
      <c r="C153" s="131"/>
      <c r="D153" s="126">
        <f>D154</f>
        <v>0</v>
      </c>
      <c r="E153" s="176"/>
      <c r="F153" s="120"/>
    </row>
    <row r="154" spans="1:6" ht="38.25" hidden="1">
      <c r="A154" s="139" t="s">
        <v>482</v>
      </c>
      <c r="B154" s="128" t="s">
        <v>441</v>
      </c>
      <c r="C154" s="127"/>
      <c r="D154" s="138">
        <f>D155</f>
        <v>0</v>
      </c>
      <c r="E154" s="176"/>
      <c r="F154" s="120"/>
    </row>
    <row r="155" spans="1:6" ht="38.25" hidden="1">
      <c r="A155" s="28" t="s">
        <v>203</v>
      </c>
      <c r="B155" s="128" t="s">
        <v>442</v>
      </c>
      <c r="C155" s="127"/>
      <c r="D155" s="138">
        <f>D156</f>
        <v>0</v>
      </c>
      <c r="E155" s="176"/>
      <c r="F155" s="120"/>
    </row>
    <row r="156" spans="1:6" ht="25.5" hidden="1">
      <c r="A156" s="139" t="s">
        <v>205</v>
      </c>
      <c r="B156" s="128" t="s">
        <v>442</v>
      </c>
      <c r="C156" s="127">
        <v>600</v>
      </c>
      <c r="D156" s="138"/>
      <c r="E156" s="176"/>
      <c r="F156" s="120"/>
    </row>
    <row r="157" spans="1:6" ht="51">
      <c r="A157" s="146" t="s">
        <v>674</v>
      </c>
      <c r="B157" s="248" t="s">
        <v>8</v>
      </c>
      <c r="C157" s="159" t="s">
        <v>85</v>
      </c>
      <c r="D157" s="158">
        <f>D158</f>
        <v>2736458</v>
      </c>
      <c r="E157" s="176"/>
      <c r="F157" s="120"/>
    </row>
    <row r="158" spans="1:6" ht="76.5">
      <c r="A158" s="201" t="s">
        <v>675</v>
      </c>
      <c r="B158" s="183" t="s">
        <v>9</v>
      </c>
      <c r="C158" s="196" t="s">
        <v>85</v>
      </c>
      <c r="D158" s="184">
        <f>D159</f>
        <v>2736458</v>
      </c>
      <c r="E158" s="176"/>
      <c r="F158" s="120"/>
    </row>
    <row r="159" spans="1:6" ht="38.25">
      <c r="A159" s="29" t="s">
        <v>35</v>
      </c>
      <c r="B159" s="183" t="s">
        <v>10</v>
      </c>
      <c r="C159" s="196"/>
      <c r="D159" s="184">
        <f>D160</f>
        <v>2736458</v>
      </c>
      <c r="E159" s="176"/>
      <c r="F159" s="120"/>
    </row>
    <row r="160" spans="1:5" ht="12.75">
      <c r="A160" s="185" t="s">
        <v>267</v>
      </c>
      <c r="B160" s="183" t="s">
        <v>11</v>
      </c>
      <c r="C160" s="196" t="s">
        <v>85</v>
      </c>
      <c r="D160" s="184">
        <f>SUM(D161:D162)</f>
        <v>2736458</v>
      </c>
      <c r="E160" s="176"/>
    </row>
    <row r="161" spans="1:5" ht="25.5">
      <c r="A161" s="13" t="s">
        <v>212</v>
      </c>
      <c r="B161" s="183" t="s">
        <v>11</v>
      </c>
      <c r="C161" s="182" t="s">
        <v>72</v>
      </c>
      <c r="D161" s="181">
        <v>2217496</v>
      </c>
      <c r="E161" s="176"/>
    </row>
    <row r="162" spans="1:5" ht="12.75">
      <c r="A162" s="180" t="s">
        <v>75</v>
      </c>
      <c r="B162" s="179" t="s">
        <v>11</v>
      </c>
      <c r="C162" s="178">
        <v>800</v>
      </c>
      <c r="D162" s="177">
        <v>518962</v>
      </c>
      <c r="E162" s="176"/>
    </row>
    <row r="163" spans="1:5" ht="51">
      <c r="A163" s="191" t="s">
        <v>453</v>
      </c>
      <c r="B163" s="248" t="s">
        <v>32</v>
      </c>
      <c r="C163" s="159"/>
      <c r="D163" s="158">
        <f>D164+D178+D190</f>
        <v>82040391.38</v>
      </c>
      <c r="E163" s="176"/>
    </row>
    <row r="164" spans="1:5" ht="76.5">
      <c r="A164" s="12" t="s">
        <v>199</v>
      </c>
      <c r="B164" s="183" t="s">
        <v>200</v>
      </c>
      <c r="C164" s="219"/>
      <c r="D164" s="184">
        <f>D168+D165+D175</f>
        <v>69423376.36</v>
      </c>
      <c r="E164" s="176"/>
    </row>
    <row r="165" spans="1:5" ht="38.25">
      <c r="A165" s="29" t="s">
        <v>934</v>
      </c>
      <c r="B165" s="128" t="s">
        <v>202</v>
      </c>
      <c r="C165" s="152"/>
      <c r="D165" s="184">
        <f>D166</f>
        <v>30000</v>
      </c>
      <c r="E165" s="176"/>
    </row>
    <row r="166" spans="1:5" ht="25.5">
      <c r="A166" s="185" t="s">
        <v>935</v>
      </c>
      <c r="B166" s="128" t="s">
        <v>936</v>
      </c>
      <c r="C166" s="152"/>
      <c r="D166" s="184">
        <f>D167</f>
        <v>30000</v>
      </c>
      <c r="E166" s="176"/>
    </row>
    <row r="167" spans="1:5" ht="25.5">
      <c r="A167" s="423" t="s">
        <v>212</v>
      </c>
      <c r="B167" s="128" t="s">
        <v>936</v>
      </c>
      <c r="C167" s="127">
        <v>200</v>
      </c>
      <c r="D167" s="184">
        <v>30000</v>
      </c>
      <c r="E167" s="176"/>
    </row>
    <row r="168" spans="1:5" ht="25.5">
      <c r="A168" s="217" t="s">
        <v>712</v>
      </c>
      <c r="B168" s="183" t="s">
        <v>62</v>
      </c>
      <c r="C168" s="219"/>
      <c r="D168" s="184">
        <f>D169+D171+D173</f>
        <v>69303376.36</v>
      </c>
      <c r="E168" s="176"/>
    </row>
    <row r="169" spans="1:5" ht="38.25">
      <c r="A169" s="217" t="s">
        <v>90</v>
      </c>
      <c r="B169" s="183" t="s">
        <v>668</v>
      </c>
      <c r="C169" s="219"/>
      <c r="D169" s="184">
        <f>D170</f>
        <v>35871602.67</v>
      </c>
      <c r="E169" s="176"/>
    </row>
    <row r="170" spans="1:5" ht="25.5">
      <c r="A170" s="212" t="s">
        <v>205</v>
      </c>
      <c r="B170" s="183" t="s">
        <v>668</v>
      </c>
      <c r="C170" s="182">
        <v>400</v>
      </c>
      <c r="D170" s="184">
        <v>35871602.67</v>
      </c>
      <c r="E170" s="176"/>
    </row>
    <row r="171" spans="1:5" ht="25.5">
      <c r="A171" s="217" t="s">
        <v>91</v>
      </c>
      <c r="B171" s="183" t="s">
        <v>669</v>
      </c>
      <c r="C171" s="219"/>
      <c r="D171" s="184">
        <f>D172</f>
        <v>18972534.33</v>
      </c>
      <c r="E171" s="176"/>
    </row>
    <row r="172" spans="1:5" ht="25.5">
      <c r="A172" s="212" t="s">
        <v>205</v>
      </c>
      <c r="B172" s="183" t="s">
        <v>669</v>
      </c>
      <c r="C172" s="182">
        <v>400</v>
      </c>
      <c r="D172" s="184">
        <v>18972534.33</v>
      </c>
      <c r="E172" s="176"/>
    </row>
    <row r="173" spans="1:5" ht="63.75">
      <c r="A173" s="17" t="s">
        <v>65</v>
      </c>
      <c r="B173" s="183" t="s">
        <v>276</v>
      </c>
      <c r="C173" s="219"/>
      <c r="D173" s="184">
        <f>D174</f>
        <v>14459239.36</v>
      </c>
      <c r="E173" s="176"/>
    </row>
    <row r="174" spans="1:6" ht="25.5">
      <c r="A174" s="212" t="s">
        <v>205</v>
      </c>
      <c r="B174" s="183" t="s">
        <v>276</v>
      </c>
      <c r="C174" s="182">
        <v>400</v>
      </c>
      <c r="D174" s="181">
        <v>14459239.36</v>
      </c>
      <c r="E174" s="176"/>
      <c r="F174" s="245"/>
    </row>
    <row r="175" spans="1:6" ht="38.25">
      <c r="A175" s="139" t="s">
        <v>969</v>
      </c>
      <c r="B175" s="128" t="s">
        <v>970</v>
      </c>
      <c r="C175" s="127"/>
      <c r="D175" s="138">
        <f>D176</f>
        <v>90000</v>
      </c>
      <c r="E175" s="176"/>
      <c r="F175" s="245"/>
    </row>
    <row r="176" spans="1:6" ht="25.5">
      <c r="A176" s="139" t="s">
        <v>935</v>
      </c>
      <c r="B176" s="128" t="s">
        <v>971</v>
      </c>
      <c r="C176" s="127"/>
      <c r="D176" s="138">
        <f>D177</f>
        <v>90000</v>
      </c>
      <c r="E176" s="176"/>
      <c r="F176" s="245"/>
    </row>
    <row r="177" spans="1:6" ht="25.5">
      <c r="A177" s="139" t="s">
        <v>212</v>
      </c>
      <c r="B177" s="128" t="s">
        <v>971</v>
      </c>
      <c r="C177" s="127" t="s">
        <v>72</v>
      </c>
      <c r="D177" s="138">
        <v>90000</v>
      </c>
      <c r="E177" s="176"/>
      <c r="F177" s="245"/>
    </row>
    <row r="178" spans="1:6" ht="63.75">
      <c r="A178" s="12" t="s">
        <v>454</v>
      </c>
      <c r="B178" s="186" t="s">
        <v>529</v>
      </c>
      <c r="C178" s="219"/>
      <c r="D178" s="184">
        <f>D179+D182+D186</f>
        <v>12617015.02</v>
      </c>
      <c r="E178" s="176"/>
      <c r="F178" s="245"/>
    </row>
    <row r="179" spans="1:6" ht="25.5">
      <c r="A179" s="28" t="s">
        <v>218</v>
      </c>
      <c r="B179" s="183" t="s">
        <v>251</v>
      </c>
      <c r="C179" s="219"/>
      <c r="D179" s="184">
        <f>D180</f>
        <v>663000</v>
      </c>
      <c r="E179" s="176"/>
      <c r="F179" s="245"/>
    </row>
    <row r="180" spans="1:5" ht="24">
      <c r="A180" s="30" t="s">
        <v>250</v>
      </c>
      <c r="B180" s="183" t="s">
        <v>249</v>
      </c>
      <c r="C180" s="219"/>
      <c r="D180" s="184">
        <f>SUM(D181:D181)</f>
        <v>663000</v>
      </c>
      <c r="E180" s="176"/>
    </row>
    <row r="181" spans="1:5" ht="25.5">
      <c r="A181" s="13" t="s">
        <v>212</v>
      </c>
      <c r="B181" s="183" t="s">
        <v>249</v>
      </c>
      <c r="C181" s="182">
        <v>200</v>
      </c>
      <c r="D181" s="181">
        <v>663000</v>
      </c>
      <c r="E181" s="176"/>
    </row>
    <row r="182" spans="1:5" ht="25.5">
      <c r="A182" s="28" t="s">
        <v>337</v>
      </c>
      <c r="B182" s="183" t="s">
        <v>428</v>
      </c>
      <c r="C182" s="182"/>
      <c r="D182" s="184">
        <f>D183</f>
        <v>11589350.08</v>
      </c>
      <c r="E182" s="176"/>
    </row>
    <row r="183" spans="1:5" ht="12.75">
      <c r="A183" s="33" t="s">
        <v>695</v>
      </c>
      <c r="B183" s="183" t="s">
        <v>429</v>
      </c>
      <c r="C183" s="182" t="s">
        <v>85</v>
      </c>
      <c r="D183" s="184">
        <f>SUM(D184:D185)</f>
        <v>11589350.08</v>
      </c>
      <c r="E183" s="176"/>
    </row>
    <row r="184" spans="1:5" ht="25.5">
      <c r="A184" s="13" t="s">
        <v>212</v>
      </c>
      <c r="B184" s="183" t="s">
        <v>429</v>
      </c>
      <c r="C184" s="182">
        <v>200</v>
      </c>
      <c r="D184" s="181">
        <v>3730774.23</v>
      </c>
      <c r="E184" s="176"/>
    </row>
    <row r="185" spans="1:5" ht="12.75">
      <c r="A185" s="13" t="s">
        <v>75</v>
      </c>
      <c r="B185" s="183" t="s">
        <v>429</v>
      </c>
      <c r="C185" s="182">
        <v>800</v>
      </c>
      <c r="D185" s="181">
        <v>7858575.85</v>
      </c>
      <c r="E185" s="176"/>
    </row>
    <row r="186" spans="1:5" ht="25.5">
      <c r="A186" s="28" t="s">
        <v>897</v>
      </c>
      <c r="B186" s="128" t="s">
        <v>899</v>
      </c>
      <c r="C186" s="152"/>
      <c r="D186" s="138">
        <f>D188</f>
        <v>364664.94</v>
      </c>
      <c r="E186" s="176"/>
    </row>
    <row r="187" spans="1:5" ht="12.75">
      <c r="A187" s="28" t="s">
        <v>898</v>
      </c>
      <c r="B187" s="128" t="s">
        <v>900</v>
      </c>
      <c r="C187" s="152"/>
      <c r="D187" s="181">
        <f>D188</f>
        <v>364664.94</v>
      </c>
      <c r="E187" s="176"/>
    </row>
    <row r="188" spans="1:6" ht="25.5">
      <c r="A188" s="28" t="s">
        <v>212</v>
      </c>
      <c r="B188" s="128" t="s">
        <v>900</v>
      </c>
      <c r="C188" s="127" t="s">
        <v>72</v>
      </c>
      <c r="D188" s="138">
        <v>364664.94</v>
      </c>
      <c r="E188" s="176"/>
      <c r="F188" s="245"/>
    </row>
    <row r="189" spans="1:6" ht="12.75" hidden="1">
      <c r="A189" s="139"/>
      <c r="B189" s="128"/>
      <c r="C189" s="127"/>
      <c r="D189" s="138"/>
      <c r="E189" s="176"/>
      <c r="F189" s="245"/>
    </row>
    <row r="190" spans="1:6" ht="12.75" hidden="1">
      <c r="A190" s="50"/>
      <c r="B190" s="60"/>
      <c r="C190" s="51"/>
      <c r="D190" s="55">
        <f>D191</f>
        <v>0</v>
      </c>
      <c r="E190" s="176"/>
      <c r="F190" s="245"/>
    </row>
    <row r="191" spans="1:5" ht="12.75" hidden="1">
      <c r="A191" s="26"/>
      <c r="B191" s="47"/>
      <c r="C191" s="51"/>
      <c r="D191" s="55">
        <f>D192</f>
        <v>0</v>
      </c>
      <c r="E191" s="176"/>
    </row>
    <row r="192" spans="1:5" ht="25.5" hidden="1">
      <c r="A192" s="57" t="s">
        <v>212</v>
      </c>
      <c r="B192" s="62" t="s">
        <v>314</v>
      </c>
      <c r="C192" s="58">
        <v>200</v>
      </c>
      <c r="D192" s="79"/>
      <c r="E192" s="176"/>
    </row>
    <row r="193" spans="1:5" ht="51">
      <c r="A193" s="191" t="s">
        <v>413</v>
      </c>
      <c r="B193" s="248" t="s">
        <v>412</v>
      </c>
      <c r="C193" s="159" t="s">
        <v>85</v>
      </c>
      <c r="D193" s="158">
        <f>D194+D207</f>
        <v>2734600</v>
      </c>
      <c r="E193" s="176"/>
    </row>
    <row r="194" spans="1:5" ht="76.5">
      <c r="A194" s="12" t="s">
        <v>336</v>
      </c>
      <c r="B194" s="186" t="s">
        <v>462</v>
      </c>
      <c r="C194" s="182" t="s">
        <v>85</v>
      </c>
      <c r="D194" s="184">
        <f>D195+D204</f>
        <v>2634600</v>
      </c>
      <c r="E194" s="176"/>
    </row>
    <row r="195" spans="1:5" ht="25.5">
      <c r="A195" s="33" t="s">
        <v>461</v>
      </c>
      <c r="B195" s="183" t="s">
        <v>460</v>
      </c>
      <c r="C195" s="182"/>
      <c r="D195" s="184">
        <f>D198+D201+D196</f>
        <v>2554600</v>
      </c>
      <c r="E195" s="176"/>
    </row>
    <row r="196" spans="1:5" ht="12.75">
      <c r="A196" s="17" t="s">
        <v>459</v>
      </c>
      <c r="B196" s="128" t="s">
        <v>458</v>
      </c>
      <c r="C196" s="129"/>
      <c r="D196" s="184">
        <f>D197</f>
        <v>7000</v>
      </c>
      <c r="E196" s="176"/>
    </row>
    <row r="197" spans="1:5" ht="25.5">
      <c r="A197" s="139" t="s">
        <v>88</v>
      </c>
      <c r="B197" s="128" t="s">
        <v>458</v>
      </c>
      <c r="C197" s="129">
        <v>600</v>
      </c>
      <c r="D197" s="184">
        <v>7000</v>
      </c>
      <c r="E197" s="176"/>
    </row>
    <row r="198" spans="1:5" ht="12.75">
      <c r="A198" s="49" t="s">
        <v>601</v>
      </c>
      <c r="B198" s="183" t="s">
        <v>602</v>
      </c>
      <c r="C198" s="185"/>
      <c r="D198" s="184">
        <f>SUM(D199:D200)</f>
        <v>993564</v>
      </c>
      <c r="E198" s="176"/>
    </row>
    <row r="199" spans="1:5" ht="12.75">
      <c r="A199" s="13" t="s">
        <v>79</v>
      </c>
      <c r="B199" s="183" t="s">
        <v>602</v>
      </c>
      <c r="C199" s="185">
        <v>300</v>
      </c>
      <c r="D199" s="181">
        <v>596232</v>
      </c>
      <c r="E199" s="176"/>
    </row>
    <row r="200" spans="1:5" ht="25.5">
      <c r="A200" s="13" t="s">
        <v>88</v>
      </c>
      <c r="B200" s="183" t="s">
        <v>602</v>
      </c>
      <c r="C200" s="185">
        <v>600</v>
      </c>
      <c r="D200" s="181">
        <v>397332</v>
      </c>
      <c r="E200" s="176"/>
    </row>
    <row r="201" spans="1:5" ht="25.5">
      <c r="A201" s="25" t="s">
        <v>469</v>
      </c>
      <c r="B201" s="183" t="s">
        <v>265</v>
      </c>
      <c r="C201" s="185"/>
      <c r="D201" s="184">
        <f>D202+D203</f>
        <v>1554036</v>
      </c>
      <c r="E201" s="176"/>
    </row>
    <row r="202" spans="1:5" ht="12.75">
      <c r="A202" s="13" t="s">
        <v>79</v>
      </c>
      <c r="B202" s="183" t="s">
        <v>265</v>
      </c>
      <c r="C202" s="185">
        <v>300</v>
      </c>
      <c r="D202" s="184">
        <v>932568</v>
      </c>
      <c r="E202" s="176"/>
    </row>
    <row r="203" spans="1:6" ht="25.5">
      <c r="A203" s="13" t="s">
        <v>88</v>
      </c>
      <c r="B203" s="183" t="s">
        <v>265</v>
      </c>
      <c r="C203" s="185">
        <v>600</v>
      </c>
      <c r="D203" s="181">
        <v>621468</v>
      </c>
      <c r="E203" s="176"/>
      <c r="F203" s="246"/>
    </row>
    <row r="204" spans="1:5" ht="38.25">
      <c r="A204" s="33" t="s">
        <v>715</v>
      </c>
      <c r="B204" s="183" t="s">
        <v>716</v>
      </c>
      <c r="C204" s="182"/>
      <c r="D204" s="184">
        <f>D205</f>
        <v>80000</v>
      </c>
      <c r="E204" s="176"/>
    </row>
    <row r="205" spans="1:5" ht="12.75">
      <c r="A205" s="33" t="s">
        <v>718</v>
      </c>
      <c r="B205" s="183" t="s">
        <v>717</v>
      </c>
      <c r="C205" s="182"/>
      <c r="D205" s="184">
        <f>D206</f>
        <v>80000</v>
      </c>
      <c r="E205" s="176"/>
    </row>
    <row r="206" spans="1:5" ht="25.5">
      <c r="A206" s="13" t="s">
        <v>212</v>
      </c>
      <c r="B206" s="183" t="s">
        <v>717</v>
      </c>
      <c r="C206" s="182">
        <v>200</v>
      </c>
      <c r="D206" s="181">
        <v>80000</v>
      </c>
      <c r="E206" s="176"/>
    </row>
    <row r="207" spans="1:6" ht="63.75">
      <c r="A207" s="12" t="s">
        <v>411</v>
      </c>
      <c r="B207" s="183" t="s">
        <v>232</v>
      </c>
      <c r="C207" s="196" t="s">
        <v>85</v>
      </c>
      <c r="D207" s="184">
        <f>D208</f>
        <v>100000</v>
      </c>
      <c r="E207" s="176"/>
      <c r="F207" s="261"/>
    </row>
    <row r="208" spans="1:6" ht="51">
      <c r="A208" s="33" t="s">
        <v>231</v>
      </c>
      <c r="B208" s="183" t="s">
        <v>230</v>
      </c>
      <c r="C208" s="196"/>
      <c r="D208" s="184">
        <f>D209</f>
        <v>100000</v>
      </c>
      <c r="E208" s="176"/>
      <c r="F208" s="245"/>
    </row>
    <row r="209" spans="1:5" ht="51">
      <c r="A209" s="33" t="s">
        <v>229</v>
      </c>
      <c r="B209" s="183" t="s">
        <v>228</v>
      </c>
      <c r="C209" s="196"/>
      <c r="D209" s="184">
        <f>D210</f>
        <v>100000</v>
      </c>
      <c r="E209" s="176"/>
    </row>
    <row r="210" spans="1:5" ht="25.5">
      <c r="A210" s="180" t="s">
        <v>212</v>
      </c>
      <c r="B210" s="179" t="s">
        <v>228</v>
      </c>
      <c r="C210" s="178">
        <v>200</v>
      </c>
      <c r="D210" s="177">
        <v>100000</v>
      </c>
      <c r="E210" s="176"/>
    </row>
    <row r="211" spans="1:5" ht="51">
      <c r="A211" s="191" t="s">
        <v>452</v>
      </c>
      <c r="B211" s="248" t="s">
        <v>29</v>
      </c>
      <c r="C211" s="249" t="s">
        <v>85</v>
      </c>
      <c r="D211" s="158">
        <f>D212+D225+D229</f>
        <v>63344877.15</v>
      </c>
      <c r="E211" s="176"/>
    </row>
    <row r="212" spans="1:5" ht="63.75">
      <c r="A212" s="12" t="s">
        <v>45</v>
      </c>
      <c r="B212" s="186" t="s">
        <v>217</v>
      </c>
      <c r="C212" s="196" t="s">
        <v>85</v>
      </c>
      <c r="D212" s="184">
        <f>D213+D217+D222</f>
        <v>61631329</v>
      </c>
      <c r="E212" s="176"/>
    </row>
    <row r="213" spans="1:5" ht="25.5">
      <c r="A213" s="29" t="s">
        <v>216</v>
      </c>
      <c r="B213" s="183" t="s">
        <v>215</v>
      </c>
      <c r="C213" s="196"/>
      <c r="D213" s="184">
        <f>D214</f>
        <v>1069302.67</v>
      </c>
      <c r="E213" s="176"/>
    </row>
    <row r="214" spans="1:5" ht="25.5">
      <c r="A214" s="33" t="s">
        <v>31</v>
      </c>
      <c r="B214" s="183" t="s">
        <v>214</v>
      </c>
      <c r="C214" s="196"/>
      <c r="D214" s="184">
        <f>D215+D216</f>
        <v>1069302.67</v>
      </c>
      <c r="E214" s="176"/>
    </row>
    <row r="215" spans="1:5" ht="25.5" hidden="1">
      <c r="A215" s="13" t="s">
        <v>212</v>
      </c>
      <c r="B215" s="183" t="s">
        <v>214</v>
      </c>
      <c r="C215" s="127">
        <v>200</v>
      </c>
      <c r="D215" s="181"/>
      <c r="E215" s="176"/>
    </row>
    <row r="216" spans="1:5" ht="12.75">
      <c r="A216" s="13" t="s">
        <v>75</v>
      </c>
      <c r="B216" s="183" t="s">
        <v>214</v>
      </c>
      <c r="C216" s="182">
        <v>800</v>
      </c>
      <c r="D216" s="181">
        <v>1069302.67</v>
      </c>
      <c r="E216" s="176"/>
    </row>
    <row r="217" spans="1:5" ht="25.5">
      <c r="A217" s="29" t="s">
        <v>213</v>
      </c>
      <c r="B217" s="183" t="s">
        <v>234</v>
      </c>
      <c r="C217" s="196"/>
      <c r="D217" s="184">
        <f>D220+D218</f>
        <v>60562026.33</v>
      </c>
      <c r="E217" s="176"/>
    </row>
    <row r="218" spans="1:5" ht="38.25">
      <c r="A218" s="94" t="s">
        <v>595</v>
      </c>
      <c r="B218" s="96" t="s">
        <v>145</v>
      </c>
      <c r="C218" s="95"/>
      <c r="D218" s="184">
        <f>D219</f>
        <v>57294342</v>
      </c>
      <c r="E218" s="176"/>
    </row>
    <row r="219" spans="1:5" ht="25.5">
      <c r="A219" s="98" t="s">
        <v>212</v>
      </c>
      <c r="B219" s="96" t="s">
        <v>145</v>
      </c>
      <c r="C219" s="95">
        <v>200</v>
      </c>
      <c r="D219" s="181">
        <v>57294342</v>
      </c>
      <c r="E219" s="176"/>
    </row>
    <row r="220" spans="1:5" ht="38.25">
      <c r="A220" s="49" t="s">
        <v>595</v>
      </c>
      <c r="B220" s="47" t="s">
        <v>594</v>
      </c>
      <c r="C220" s="182" t="s">
        <v>85</v>
      </c>
      <c r="D220" s="184">
        <f>D221</f>
        <v>3267684.33</v>
      </c>
      <c r="E220" s="176"/>
    </row>
    <row r="221" spans="1:5" ht="25.5">
      <c r="A221" s="13" t="s">
        <v>212</v>
      </c>
      <c r="B221" s="47" t="s">
        <v>594</v>
      </c>
      <c r="C221" s="182">
        <v>200</v>
      </c>
      <c r="D221" s="181">
        <v>3267684.33</v>
      </c>
      <c r="E221" s="176"/>
    </row>
    <row r="222" spans="1:5" ht="38.25" hidden="1">
      <c r="A222" s="13" t="s">
        <v>63</v>
      </c>
      <c r="B222" s="183" t="s">
        <v>64</v>
      </c>
      <c r="C222" s="182"/>
      <c r="D222" s="184">
        <f>D223</f>
        <v>0</v>
      </c>
      <c r="E222" s="176"/>
    </row>
    <row r="223" spans="1:5" ht="24" hidden="1">
      <c r="A223" s="23" t="s">
        <v>707</v>
      </c>
      <c r="B223" s="183" t="s">
        <v>708</v>
      </c>
      <c r="C223" s="182"/>
      <c r="D223" s="184">
        <f>D224</f>
        <v>0</v>
      </c>
      <c r="E223" s="176"/>
    </row>
    <row r="224" spans="1:5" ht="25.5" hidden="1">
      <c r="A224" s="212" t="s">
        <v>205</v>
      </c>
      <c r="B224" s="183" t="s">
        <v>708</v>
      </c>
      <c r="C224" s="182">
        <v>400</v>
      </c>
      <c r="D224" s="181"/>
      <c r="E224" s="176"/>
    </row>
    <row r="225" spans="1:5" ht="65.25" customHeight="1">
      <c r="A225" s="12" t="s">
        <v>244</v>
      </c>
      <c r="B225" s="186" t="s">
        <v>30</v>
      </c>
      <c r="C225" s="182"/>
      <c r="D225" s="184">
        <f>D226</f>
        <v>200272</v>
      </c>
      <c r="E225" s="176"/>
    </row>
    <row r="226" spans="1:5" ht="51">
      <c r="A226" s="29" t="s">
        <v>97</v>
      </c>
      <c r="B226" s="183" t="s">
        <v>423</v>
      </c>
      <c r="C226" s="182"/>
      <c r="D226" s="184">
        <f>D227</f>
        <v>200272</v>
      </c>
      <c r="E226" s="176"/>
    </row>
    <row r="227" spans="1:5" ht="25.5">
      <c r="A227" s="33" t="s">
        <v>332</v>
      </c>
      <c r="B227" s="183" t="s">
        <v>331</v>
      </c>
      <c r="C227" s="182"/>
      <c r="D227" s="184">
        <f>D228</f>
        <v>200272</v>
      </c>
      <c r="E227" s="176"/>
    </row>
    <row r="228" spans="1:5" ht="12.75">
      <c r="A228" s="29" t="s">
        <v>75</v>
      </c>
      <c r="B228" s="183" t="s">
        <v>331</v>
      </c>
      <c r="C228" s="182">
        <v>800</v>
      </c>
      <c r="D228" s="184">
        <v>200272</v>
      </c>
      <c r="E228" s="176"/>
    </row>
    <row r="229" spans="1:5" ht="25.5">
      <c r="A229" s="380" t="s">
        <v>849</v>
      </c>
      <c r="B229" s="186" t="s">
        <v>869</v>
      </c>
      <c r="C229" s="200"/>
      <c r="D229" s="184">
        <f>D230</f>
        <v>1513276.15</v>
      </c>
      <c r="E229" s="176"/>
    </row>
    <row r="230" spans="1:5" ht="38.25">
      <c r="A230" s="33" t="s">
        <v>850</v>
      </c>
      <c r="B230" s="183" t="s">
        <v>870</v>
      </c>
      <c r="C230" s="182"/>
      <c r="D230" s="184">
        <f>D231</f>
        <v>1513276.15</v>
      </c>
      <c r="E230" s="176"/>
    </row>
    <row r="231" spans="1:5" ht="12.75">
      <c r="A231" s="33" t="s">
        <v>851</v>
      </c>
      <c r="B231" s="183" t="s">
        <v>871</v>
      </c>
      <c r="C231" s="182"/>
      <c r="D231" s="184">
        <f>D232</f>
        <v>1513276.15</v>
      </c>
      <c r="E231" s="176"/>
    </row>
    <row r="232" spans="1:5" ht="25.5">
      <c r="A232" s="33" t="s">
        <v>212</v>
      </c>
      <c r="B232" s="183" t="s">
        <v>871</v>
      </c>
      <c r="C232" s="182">
        <v>200</v>
      </c>
      <c r="D232" s="184">
        <v>1513276.15</v>
      </c>
      <c r="E232" s="176"/>
    </row>
    <row r="233" spans="1:5" ht="51">
      <c r="A233" s="191" t="s">
        <v>280</v>
      </c>
      <c r="B233" s="159" t="s">
        <v>12</v>
      </c>
      <c r="C233" s="159"/>
      <c r="D233" s="158">
        <f>D234</f>
        <v>384700</v>
      </c>
      <c r="E233" s="176"/>
    </row>
    <row r="234" spans="1:5" ht="63.75">
      <c r="A234" s="12" t="s">
        <v>281</v>
      </c>
      <c r="B234" s="182" t="s">
        <v>13</v>
      </c>
      <c r="C234" s="182"/>
      <c r="D234" s="184">
        <f>D235+D238</f>
        <v>384700</v>
      </c>
      <c r="E234" s="176"/>
    </row>
    <row r="235" spans="1:5" ht="25.5">
      <c r="A235" s="53" t="s">
        <v>268</v>
      </c>
      <c r="B235" s="182" t="s">
        <v>107</v>
      </c>
      <c r="C235" s="182"/>
      <c r="D235" s="184">
        <f>D236</f>
        <v>50000</v>
      </c>
      <c r="E235" s="176"/>
    </row>
    <row r="236" spans="1:5" ht="24">
      <c r="A236" s="23" t="s">
        <v>255</v>
      </c>
      <c r="B236" s="51" t="s">
        <v>269</v>
      </c>
      <c r="C236" s="51"/>
      <c r="D236" s="55">
        <f>D237</f>
        <v>50000</v>
      </c>
      <c r="E236" s="176"/>
    </row>
    <row r="237" spans="1:5" ht="25.5">
      <c r="A237" s="53" t="s">
        <v>212</v>
      </c>
      <c r="B237" s="51" t="s">
        <v>269</v>
      </c>
      <c r="C237" s="51">
        <v>200</v>
      </c>
      <c r="D237" s="55">
        <v>50000</v>
      </c>
      <c r="E237" s="176"/>
    </row>
    <row r="238" spans="1:5" ht="25.5">
      <c r="A238" s="13" t="s">
        <v>270</v>
      </c>
      <c r="B238" s="182" t="s">
        <v>259</v>
      </c>
      <c r="C238" s="51"/>
      <c r="D238" s="55">
        <f>D239+D241</f>
        <v>334700</v>
      </c>
      <c r="E238" s="176"/>
    </row>
    <row r="239" spans="1:5" ht="38.25">
      <c r="A239" s="13" t="s">
        <v>106</v>
      </c>
      <c r="B239" s="182" t="s">
        <v>271</v>
      </c>
      <c r="C239" s="182"/>
      <c r="D239" s="184">
        <f>SUM(D240:D240)</f>
        <v>334700</v>
      </c>
      <c r="E239" s="176"/>
    </row>
    <row r="240" spans="1:5" ht="58.5" customHeight="1">
      <c r="A240" s="13" t="s">
        <v>698</v>
      </c>
      <c r="B240" s="182" t="s">
        <v>271</v>
      </c>
      <c r="C240" s="182">
        <v>100</v>
      </c>
      <c r="D240" s="181">
        <v>334700</v>
      </c>
      <c r="E240" s="176"/>
    </row>
    <row r="241" spans="1:5" ht="56.25" customHeight="1" hidden="1">
      <c r="A241" s="23" t="s">
        <v>255</v>
      </c>
      <c r="B241" s="182" t="s">
        <v>256</v>
      </c>
      <c r="C241" s="182"/>
      <c r="D241" s="184">
        <f>D242</f>
        <v>0</v>
      </c>
      <c r="E241" s="176"/>
    </row>
    <row r="242" spans="1:5" ht="25.5" hidden="1">
      <c r="A242" s="180" t="s">
        <v>212</v>
      </c>
      <c r="B242" s="178" t="s">
        <v>256</v>
      </c>
      <c r="C242" s="178">
        <v>200</v>
      </c>
      <c r="D242" s="177"/>
      <c r="E242" s="176"/>
    </row>
    <row r="243" spans="1:5" ht="51">
      <c r="A243" s="191" t="s">
        <v>456</v>
      </c>
      <c r="B243" s="248" t="s">
        <v>19</v>
      </c>
      <c r="C243" s="159" t="s">
        <v>85</v>
      </c>
      <c r="D243" s="158">
        <f>D244</f>
        <v>2771627</v>
      </c>
      <c r="E243" s="176"/>
    </row>
    <row r="244" spans="1:5" ht="76.5">
      <c r="A244" s="24" t="s">
        <v>278</v>
      </c>
      <c r="B244" s="183" t="s">
        <v>845</v>
      </c>
      <c r="C244" s="182"/>
      <c r="D244" s="184">
        <f>D245+D250</f>
        <v>2771627</v>
      </c>
      <c r="E244" s="176"/>
    </row>
    <row r="245" spans="1:5" ht="55.5" customHeight="1">
      <c r="A245" s="28" t="s">
        <v>243</v>
      </c>
      <c r="B245" s="183" t="s">
        <v>881</v>
      </c>
      <c r="C245" s="182"/>
      <c r="D245" s="184">
        <f>D246+D253</f>
        <v>2671627</v>
      </c>
      <c r="E245" s="176"/>
    </row>
    <row r="246" spans="1:5" ht="25.5">
      <c r="A246" s="185" t="s">
        <v>468</v>
      </c>
      <c r="B246" s="183" t="s">
        <v>876</v>
      </c>
      <c r="C246" s="182" t="s">
        <v>85</v>
      </c>
      <c r="D246" s="184">
        <f>SUM(D247:D249)</f>
        <v>2671627</v>
      </c>
      <c r="E246" s="176"/>
    </row>
    <row r="247" spans="1:5" ht="51">
      <c r="A247" s="13" t="s">
        <v>698</v>
      </c>
      <c r="B247" s="183" t="s">
        <v>876</v>
      </c>
      <c r="C247" s="182" t="s">
        <v>565</v>
      </c>
      <c r="D247" s="181">
        <v>2484982</v>
      </c>
      <c r="E247" s="176"/>
    </row>
    <row r="248" spans="1:5" ht="25.5">
      <c r="A248" s="13" t="s">
        <v>212</v>
      </c>
      <c r="B248" s="183" t="s">
        <v>876</v>
      </c>
      <c r="C248" s="182" t="s">
        <v>72</v>
      </c>
      <c r="D248" s="181">
        <v>185445</v>
      </c>
      <c r="E248" s="176"/>
    </row>
    <row r="249" spans="1:5" ht="12.75">
      <c r="A249" s="180" t="s">
        <v>75</v>
      </c>
      <c r="B249" s="183" t="s">
        <v>876</v>
      </c>
      <c r="C249" s="178" t="s">
        <v>76</v>
      </c>
      <c r="D249" s="177">
        <v>1200</v>
      </c>
      <c r="E249" s="176"/>
    </row>
    <row r="250" spans="1:5" ht="36">
      <c r="A250" s="23" t="s">
        <v>844</v>
      </c>
      <c r="B250" s="124" t="s">
        <v>846</v>
      </c>
      <c r="C250" s="221"/>
      <c r="D250" s="379">
        <f>D251</f>
        <v>100000</v>
      </c>
      <c r="E250" s="176"/>
    </row>
    <row r="251" spans="1:5" ht="24">
      <c r="A251" s="23" t="s">
        <v>255</v>
      </c>
      <c r="B251" s="124" t="s">
        <v>847</v>
      </c>
      <c r="C251" s="221"/>
      <c r="D251" s="379">
        <f>D252</f>
        <v>100000</v>
      </c>
      <c r="E251" s="176"/>
    </row>
    <row r="252" spans="1:5" ht="24">
      <c r="A252" s="23" t="s">
        <v>148</v>
      </c>
      <c r="B252" s="124" t="s">
        <v>847</v>
      </c>
      <c r="C252" s="378">
        <v>200</v>
      </c>
      <c r="D252" s="379">
        <v>100000</v>
      </c>
      <c r="E252" s="176"/>
    </row>
    <row r="253" spans="1:5" ht="25.5" hidden="1">
      <c r="A253" s="139" t="s">
        <v>832</v>
      </c>
      <c r="B253" s="124" t="s">
        <v>833</v>
      </c>
      <c r="C253" s="301"/>
      <c r="D253" s="225">
        <f>D254</f>
        <v>0</v>
      </c>
      <c r="E253" s="176"/>
    </row>
    <row r="254" spans="1:5" ht="25.5" hidden="1">
      <c r="A254" s="139" t="s">
        <v>212</v>
      </c>
      <c r="B254" s="124" t="s">
        <v>833</v>
      </c>
      <c r="C254" s="178">
        <v>200</v>
      </c>
      <c r="D254" s="177"/>
      <c r="E254" s="176"/>
    </row>
    <row r="255" spans="1:5" ht="25.5">
      <c r="A255" s="191" t="s">
        <v>166</v>
      </c>
      <c r="B255" s="248" t="s">
        <v>656</v>
      </c>
      <c r="C255" s="249" t="s">
        <v>85</v>
      </c>
      <c r="D255" s="158">
        <f>D256+D260</f>
        <v>4453392</v>
      </c>
      <c r="E255" s="176"/>
    </row>
    <row r="256" spans="1:5" ht="38.25">
      <c r="A256" s="12" t="s">
        <v>366</v>
      </c>
      <c r="B256" s="183" t="s">
        <v>116</v>
      </c>
      <c r="C256" s="196" t="s">
        <v>85</v>
      </c>
      <c r="D256" s="184">
        <f>D257</f>
        <v>33000</v>
      </c>
      <c r="E256" s="176"/>
    </row>
    <row r="257" spans="1:5" ht="38.25">
      <c r="A257" s="28" t="s">
        <v>115</v>
      </c>
      <c r="B257" s="183" t="s">
        <v>117</v>
      </c>
      <c r="C257" s="196"/>
      <c r="D257" s="184">
        <f>D258</f>
        <v>33000</v>
      </c>
      <c r="E257" s="176"/>
    </row>
    <row r="258" spans="1:5" ht="12.75">
      <c r="A258" s="33" t="s">
        <v>118</v>
      </c>
      <c r="B258" s="183" t="s">
        <v>119</v>
      </c>
      <c r="C258" s="196" t="s">
        <v>85</v>
      </c>
      <c r="D258" s="184">
        <f>D259</f>
        <v>33000</v>
      </c>
      <c r="E258" s="176"/>
    </row>
    <row r="259" spans="1:5" ht="12.75">
      <c r="A259" s="13" t="s">
        <v>467</v>
      </c>
      <c r="B259" s="183" t="s">
        <v>119</v>
      </c>
      <c r="C259" s="182" t="s">
        <v>80</v>
      </c>
      <c r="D259" s="181">
        <f>33000</f>
        <v>33000</v>
      </c>
      <c r="E259" s="176"/>
    </row>
    <row r="260" spans="1:5" ht="38.25">
      <c r="A260" s="12" t="s">
        <v>168</v>
      </c>
      <c r="B260" s="182" t="s">
        <v>657</v>
      </c>
      <c r="C260" s="182" t="s">
        <v>85</v>
      </c>
      <c r="D260" s="184">
        <f>D261</f>
        <v>4420392</v>
      </c>
      <c r="E260" s="176"/>
    </row>
    <row r="261" spans="1:5" ht="38.25">
      <c r="A261" s="28" t="s">
        <v>567</v>
      </c>
      <c r="B261" s="182" t="s">
        <v>296</v>
      </c>
      <c r="C261" s="182"/>
      <c r="D261" s="184">
        <f>D262</f>
        <v>4420392</v>
      </c>
      <c r="E261" s="176"/>
    </row>
    <row r="262" spans="1:5" ht="27.75" customHeight="1">
      <c r="A262" s="185" t="s">
        <v>694</v>
      </c>
      <c r="B262" s="182" t="s">
        <v>658</v>
      </c>
      <c r="C262" s="182" t="s">
        <v>85</v>
      </c>
      <c r="D262" s="184">
        <f>SUM(D263:D265)</f>
        <v>4420392</v>
      </c>
      <c r="E262" s="176"/>
    </row>
    <row r="263" spans="1:5" ht="51">
      <c r="A263" s="13" t="s">
        <v>698</v>
      </c>
      <c r="B263" s="182" t="s">
        <v>658</v>
      </c>
      <c r="C263" s="182">
        <v>100</v>
      </c>
      <c r="D263" s="181">
        <f>4013155+4338</f>
        <v>4017493</v>
      </c>
      <c r="E263" s="176"/>
    </row>
    <row r="264" spans="1:5" ht="25.5">
      <c r="A264" s="13" t="s">
        <v>212</v>
      </c>
      <c r="B264" s="182" t="s">
        <v>658</v>
      </c>
      <c r="C264" s="182" t="s">
        <v>72</v>
      </c>
      <c r="D264" s="181">
        <f>402899</f>
        <v>402899</v>
      </c>
      <c r="E264" s="176"/>
    </row>
    <row r="265" spans="1:5" ht="12.75" hidden="1">
      <c r="A265" s="180" t="s">
        <v>75</v>
      </c>
      <c r="B265" s="178" t="s">
        <v>658</v>
      </c>
      <c r="C265" s="178">
        <v>800</v>
      </c>
      <c r="D265" s="177"/>
      <c r="E265" s="176"/>
    </row>
    <row r="266" spans="1:5" ht="38.25" hidden="1">
      <c r="A266" s="191" t="s">
        <v>46</v>
      </c>
      <c r="B266" s="189" t="s">
        <v>597</v>
      </c>
      <c r="C266" s="260"/>
      <c r="D266" s="187">
        <f>D267</f>
        <v>0</v>
      </c>
      <c r="E266" s="176"/>
    </row>
    <row r="267" spans="1:5" ht="24" hidden="1">
      <c r="A267" s="23" t="s">
        <v>600</v>
      </c>
      <c r="B267" s="183" t="s">
        <v>599</v>
      </c>
      <c r="C267" s="216"/>
      <c r="D267" s="184">
        <f>D268</f>
        <v>0</v>
      </c>
      <c r="E267" s="176"/>
    </row>
    <row r="268" spans="1:5" ht="38.25" hidden="1">
      <c r="A268" s="20" t="s">
        <v>598</v>
      </c>
      <c r="B268" s="183" t="s">
        <v>96</v>
      </c>
      <c r="C268" s="216"/>
      <c r="D268" s="184">
        <f>D269</f>
        <v>0</v>
      </c>
      <c r="E268" s="176"/>
    </row>
    <row r="269" spans="1:5" ht="12.75" hidden="1">
      <c r="A269" s="259" t="s">
        <v>75</v>
      </c>
      <c r="B269" s="179" t="s">
        <v>96</v>
      </c>
      <c r="C269" s="258">
        <v>800</v>
      </c>
      <c r="D269" s="177">
        <v>0</v>
      </c>
      <c r="E269" s="176"/>
    </row>
    <row r="270" spans="1:5" ht="25.5">
      <c r="A270" s="191" t="s">
        <v>665</v>
      </c>
      <c r="B270" s="248" t="s">
        <v>21</v>
      </c>
      <c r="C270" s="159" t="s">
        <v>85</v>
      </c>
      <c r="D270" s="158">
        <f>D271+D275</f>
        <v>423000</v>
      </c>
      <c r="E270" s="176"/>
    </row>
    <row r="271" spans="1:5" ht="38.25">
      <c r="A271" s="12" t="s">
        <v>557</v>
      </c>
      <c r="B271" s="183" t="s">
        <v>22</v>
      </c>
      <c r="C271" s="182"/>
      <c r="D271" s="184">
        <f>D272</f>
        <v>88300</v>
      </c>
      <c r="E271" s="176"/>
    </row>
    <row r="272" spans="1:5" ht="38.25">
      <c r="A272" s="29" t="s">
        <v>488</v>
      </c>
      <c r="B272" s="183" t="s">
        <v>23</v>
      </c>
      <c r="C272" s="182"/>
      <c r="D272" s="184">
        <f>D273</f>
        <v>88300</v>
      </c>
      <c r="E272" s="176"/>
    </row>
    <row r="273" spans="1:5" ht="25.5">
      <c r="A273" s="13" t="s">
        <v>664</v>
      </c>
      <c r="B273" s="183" t="s">
        <v>24</v>
      </c>
      <c r="C273" s="182"/>
      <c r="D273" s="184">
        <f>D274</f>
        <v>88300</v>
      </c>
      <c r="E273" s="176"/>
    </row>
    <row r="274" spans="1:5" ht="21.75" customHeight="1">
      <c r="A274" s="13" t="s">
        <v>88</v>
      </c>
      <c r="B274" s="183" t="s">
        <v>24</v>
      </c>
      <c r="C274" s="182">
        <v>600</v>
      </c>
      <c r="D274" s="181">
        <v>88300</v>
      </c>
      <c r="E274" s="176"/>
    </row>
    <row r="275" spans="1:5" ht="39" customHeight="1">
      <c r="A275" s="12" t="s">
        <v>558</v>
      </c>
      <c r="B275" s="183" t="s">
        <v>26</v>
      </c>
      <c r="C275" s="182"/>
      <c r="D275" s="184">
        <f>D276</f>
        <v>334700</v>
      </c>
      <c r="E275" s="176"/>
    </row>
    <row r="276" spans="1:5" ht="38.25">
      <c r="A276" s="28" t="s">
        <v>427</v>
      </c>
      <c r="B276" s="183" t="s">
        <v>27</v>
      </c>
      <c r="C276" s="182"/>
      <c r="D276" s="184">
        <f>D277</f>
        <v>334700</v>
      </c>
      <c r="E276" s="176"/>
    </row>
    <row r="277" spans="1:5" ht="25.5">
      <c r="A277" s="185" t="s">
        <v>444</v>
      </c>
      <c r="B277" s="183" t="s">
        <v>28</v>
      </c>
      <c r="C277" s="196" t="s">
        <v>85</v>
      </c>
      <c r="D277" s="184">
        <f>D278+D279</f>
        <v>334700</v>
      </c>
      <c r="E277" s="176"/>
    </row>
    <row r="278" spans="1:5" ht="51">
      <c r="A278" s="180" t="s">
        <v>698</v>
      </c>
      <c r="B278" s="179" t="s">
        <v>28</v>
      </c>
      <c r="C278" s="178">
        <v>100</v>
      </c>
      <c r="D278" s="184">
        <v>275523.51</v>
      </c>
      <c r="E278" s="176"/>
    </row>
    <row r="279" spans="1:5" ht="25.5">
      <c r="A279" s="45" t="s">
        <v>212</v>
      </c>
      <c r="B279" s="179" t="s">
        <v>28</v>
      </c>
      <c r="C279" s="178">
        <v>200</v>
      </c>
      <c r="D279" s="177">
        <v>59176.49</v>
      </c>
      <c r="E279" s="176"/>
    </row>
    <row r="280" spans="1:5" ht="38.25">
      <c r="A280" s="191" t="s">
        <v>451</v>
      </c>
      <c r="B280" s="248" t="s">
        <v>605</v>
      </c>
      <c r="C280" s="159"/>
      <c r="D280" s="158">
        <f>D281+D287</f>
        <v>5623928.96</v>
      </c>
      <c r="E280" s="176"/>
    </row>
    <row r="281" spans="1:5" ht="25.5">
      <c r="A281" s="26" t="s">
        <v>672</v>
      </c>
      <c r="B281" s="183" t="s">
        <v>320</v>
      </c>
      <c r="C281" s="182"/>
      <c r="D281" s="184">
        <f>D282+D284</f>
        <v>5585925.8</v>
      </c>
      <c r="E281" s="176"/>
    </row>
    <row r="282" spans="1:5" ht="51" hidden="1">
      <c r="A282" s="20" t="s">
        <v>375</v>
      </c>
      <c r="B282" s="183" t="s">
        <v>376</v>
      </c>
      <c r="C282" s="182"/>
      <c r="D282" s="184">
        <f>D283</f>
        <v>0</v>
      </c>
      <c r="E282" s="176"/>
    </row>
    <row r="283" spans="1:5" ht="12.75" hidden="1">
      <c r="A283" s="151" t="s">
        <v>75</v>
      </c>
      <c r="B283" s="183" t="s">
        <v>376</v>
      </c>
      <c r="C283" s="182">
        <v>800</v>
      </c>
      <c r="D283" s="184"/>
      <c r="E283" s="176"/>
    </row>
    <row r="284" spans="1:5" ht="25.5">
      <c r="A284" s="45" t="s">
        <v>322</v>
      </c>
      <c r="B284" s="183" t="s">
        <v>321</v>
      </c>
      <c r="C284" s="182"/>
      <c r="D284" s="184">
        <f>D285</f>
        <v>5585925.8</v>
      </c>
      <c r="E284" s="176"/>
    </row>
    <row r="285" spans="1:5" ht="25.5">
      <c r="A285" s="45" t="s">
        <v>212</v>
      </c>
      <c r="B285" s="183" t="s">
        <v>321</v>
      </c>
      <c r="C285" s="182">
        <v>200</v>
      </c>
      <c r="D285" s="184">
        <v>5585925.8</v>
      </c>
      <c r="E285" s="176"/>
    </row>
    <row r="286" spans="1:5" ht="25.5">
      <c r="A286" s="139" t="s">
        <v>834</v>
      </c>
      <c r="B286" s="128" t="s">
        <v>835</v>
      </c>
      <c r="C286" s="127"/>
      <c r="D286" s="184">
        <f>D287</f>
        <v>38003.16</v>
      </c>
      <c r="E286" s="176"/>
    </row>
    <row r="287" spans="1:5" ht="25.5">
      <c r="A287" s="139" t="s">
        <v>836</v>
      </c>
      <c r="B287" s="128" t="s">
        <v>837</v>
      </c>
      <c r="C287" s="182"/>
      <c r="D287" s="184">
        <f>D288</f>
        <v>38003.16</v>
      </c>
      <c r="E287" s="176"/>
    </row>
    <row r="288" spans="1:5" ht="25.5">
      <c r="A288" s="139" t="s">
        <v>212</v>
      </c>
      <c r="B288" s="128" t="s">
        <v>837</v>
      </c>
      <c r="C288" s="163">
        <v>200</v>
      </c>
      <c r="D288" s="404">
        <v>38003.16</v>
      </c>
      <c r="E288" s="176"/>
    </row>
    <row r="289" spans="1:5" ht="38.25" hidden="1">
      <c r="A289" s="257" t="s">
        <v>676</v>
      </c>
      <c r="B289" s="256" t="s">
        <v>108</v>
      </c>
      <c r="C289" s="256"/>
      <c r="D289" s="255">
        <f>D290</f>
        <v>0</v>
      </c>
      <c r="E289" s="176"/>
    </row>
    <row r="290" spans="1:6" ht="51" hidden="1">
      <c r="A290" s="254" t="s">
        <v>677</v>
      </c>
      <c r="B290" s="251" t="s">
        <v>109</v>
      </c>
      <c r="C290" s="251"/>
      <c r="D290" s="253">
        <f>D291</f>
        <v>0</v>
      </c>
      <c r="E290" s="176"/>
      <c r="F290" s="245"/>
    </row>
    <row r="291" spans="1:5" ht="25.5" hidden="1">
      <c r="A291" s="252" t="s">
        <v>110</v>
      </c>
      <c r="B291" s="251" t="s">
        <v>111</v>
      </c>
      <c r="C291" s="251"/>
      <c r="D291" s="253">
        <f>D292</f>
        <v>0</v>
      </c>
      <c r="E291" s="176"/>
    </row>
    <row r="292" spans="1:5" ht="38.25" hidden="1">
      <c r="A292" s="252" t="s">
        <v>113</v>
      </c>
      <c r="B292" s="251" t="s">
        <v>112</v>
      </c>
      <c r="C292" s="251"/>
      <c r="D292" s="253">
        <f>D293</f>
        <v>0</v>
      </c>
      <c r="E292" s="176"/>
    </row>
    <row r="293" spans="1:5" ht="25.5" hidden="1">
      <c r="A293" s="252" t="s">
        <v>212</v>
      </c>
      <c r="B293" s="251" t="s">
        <v>112</v>
      </c>
      <c r="C293" s="251">
        <v>200</v>
      </c>
      <c r="D293" s="250">
        <v>0</v>
      </c>
      <c r="E293" s="176"/>
    </row>
    <row r="294" spans="1:5" ht="25.5">
      <c r="A294" s="191" t="s">
        <v>556</v>
      </c>
      <c r="B294" s="159" t="s">
        <v>649</v>
      </c>
      <c r="C294" s="159" t="s">
        <v>85</v>
      </c>
      <c r="D294" s="158">
        <f>D295</f>
        <v>359440</v>
      </c>
      <c r="E294" s="176"/>
    </row>
    <row r="295" spans="1:5" ht="12.75">
      <c r="A295" s="13" t="s">
        <v>341</v>
      </c>
      <c r="B295" s="182" t="s">
        <v>650</v>
      </c>
      <c r="C295" s="182" t="s">
        <v>85</v>
      </c>
      <c r="D295" s="184">
        <f>D296</f>
        <v>359440</v>
      </c>
      <c r="E295" s="176"/>
    </row>
    <row r="296" spans="1:5" ht="25.5">
      <c r="A296" s="185" t="s">
        <v>694</v>
      </c>
      <c r="B296" s="182" t="s">
        <v>651</v>
      </c>
      <c r="C296" s="182" t="s">
        <v>85</v>
      </c>
      <c r="D296" s="184">
        <f>D297</f>
        <v>359440</v>
      </c>
      <c r="E296" s="176"/>
    </row>
    <row r="297" spans="1:5" ht="51">
      <c r="A297" s="180" t="s">
        <v>698</v>
      </c>
      <c r="B297" s="178" t="s">
        <v>651</v>
      </c>
      <c r="C297" s="178" t="s">
        <v>565</v>
      </c>
      <c r="D297" s="177">
        <f>363778-4338</f>
        <v>359440</v>
      </c>
      <c r="E297" s="176"/>
    </row>
    <row r="298" spans="1:5" ht="12.75">
      <c r="A298" s="191" t="s">
        <v>443</v>
      </c>
      <c r="B298" s="159" t="s">
        <v>652</v>
      </c>
      <c r="C298" s="159" t="s">
        <v>85</v>
      </c>
      <c r="D298" s="158">
        <f>D299</f>
        <v>13824382</v>
      </c>
      <c r="E298" s="176"/>
    </row>
    <row r="299" spans="1:5" ht="12.75">
      <c r="A299" s="13" t="s">
        <v>447</v>
      </c>
      <c r="B299" s="182" t="s">
        <v>653</v>
      </c>
      <c r="C299" s="182" t="s">
        <v>85</v>
      </c>
      <c r="D299" s="184">
        <f>D300+D303</f>
        <v>13824382</v>
      </c>
      <c r="E299" s="176"/>
    </row>
    <row r="300" spans="1:5" ht="38.25">
      <c r="A300" s="13" t="s">
        <v>277</v>
      </c>
      <c r="B300" s="182" t="s">
        <v>654</v>
      </c>
      <c r="C300" s="182"/>
      <c r="D300" s="184">
        <f>SUM(D301:D302)</f>
        <v>334700</v>
      </c>
      <c r="E300" s="176"/>
    </row>
    <row r="301" spans="1:5" ht="51">
      <c r="A301" s="13" t="s">
        <v>698</v>
      </c>
      <c r="B301" s="182" t="s">
        <v>654</v>
      </c>
      <c r="C301" s="182">
        <v>100</v>
      </c>
      <c r="D301" s="181">
        <v>294347.73</v>
      </c>
      <c r="E301" s="176"/>
    </row>
    <row r="302" spans="1:5" ht="25.5">
      <c r="A302" s="13" t="s">
        <v>212</v>
      </c>
      <c r="B302" s="182" t="s">
        <v>654</v>
      </c>
      <c r="C302" s="182">
        <v>200</v>
      </c>
      <c r="D302" s="181">
        <v>40352.27</v>
      </c>
      <c r="E302" s="176"/>
    </row>
    <row r="303" spans="1:5" ht="25.5">
      <c r="A303" s="185" t="s">
        <v>694</v>
      </c>
      <c r="B303" s="182" t="s">
        <v>655</v>
      </c>
      <c r="C303" s="182" t="s">
        <v>85</v>
      </c>
      <c r="D303" s="184">
        <f>SUM(D304:D306)</f>
        <v>13489682</v>
      </c>
      <c r="E303" s="176"/>
    </row>
    <row r="304" spans="1:5" ht="51">
      <c r="A304" s="13" t="s">
        <v>698</v>
      </c>
      <c r="B304" s="182" t="s">
        <v>655</v>
      </c>
      <c r="C304" s="182">
        <v>100</v>
      </c>
      <c r="D304" s="181">
        <v>12212368</v>
      </c>
      <c r="E304" s="176"/>
    </row>
    <row r="305" spans="1:5" ht="25.5">
      <c r="A305" s="13" t="s">
        <v>212</v>
      </c>
      <c r="B305" s="182" t="s">
        <v>655</v>
      </c>
      <c r="C305" s="182">
        <v>200</v>
      </c>
      <c r="D305" s="181">
        <v>1153128</v>
      </c>
      <c r="E305" s="176"/>
    </row>
    <row r="306" spans="1:5" ht="12.75">
      <c r="A306" s="180" t="s">
        <v>75</v>
      </c>
      <c r="B306" s="178" t="s">
        <v>655</v>
      </c>
      <c r="C306" s="178">
        <v>800</v>
      </c>
      <c r="D306" s="177">
        <f>123186+1000</f>
        <v>124186</v>
      </c>
      <c r="E306" s="176"/>
    </row>
    <row r="307" spans="1:5" ht="25.5">
      <c r="A307" s="191" t="s">
        <v>164</v>
      </c>
      <c r="B307" s="248" t="s">
        <v>659</v>
      </c>
      <c r="C307" s="159" t="s">
        <v>85</v>
      </c>
      <c r="D307" s="158">
        <f>D308+D311</f>
        <v>1170386</v>
      </c>
      <c r="E307" s="176"/>
    </row>
    <row r="308" spans="1:5" ht="25.5">
      <c r="A308" s="12" t="s">
        <v>165</v>
      </c>
      <c r="B308" s="186" t="s">
        <v>660</v>
      </c>
      <c r="C308" s="182" t="s">
        <v>85</v>
      </c>
      <c r="D308" s="184">
        <f>D309</f>
        <v>704687</v>
      </c>
      <c r="E308" s="176"/>
    </row>
    <row r="309" spans="1:5" ht="25.5">
      <c r="A309" s="185" t="s">
        <v>694</v>
      </c>
      <c r="B309" s="183" t="s">
        <v>661</v>
      </c>
      <c r="C309" s="182"/>
      <c r="D309" s="184">
        <f>SUM(D310:D310)</f>
        <v>704687</v>
      </c>
      <c r="E309" s="176"/>
    </row>
    <row r="310" spans="1:5" ht="51">
      <c r="A310" s="13" t="s">
        <v>698</v>
      </c>
      <c r="B310" s="183" t="s">
        <v>661</v>
      </c>
      <c r="C310" s="182">
        <v>100</v>
      </c>
      <c r="D310" s="184">
        <v>704687</v>
      </c>
      <c r="E310" s="176"/>
    </row>
    <row r="311" spans="1:5" ht="25.5">
      <c r="A311" s="13" t="s">
        <v>38</v>
      </c>
      <c r="B311" s="186" t="s">
        <v>37</v>
      </c>
      <c r="C311" s="182"/>
      <c r="D311" s="184">
        <f>D312</f>
        <v>465699</v>
      </c>
      <c r="E311" s="176"/>
    </row>
    <row r="312" spans="1:5" ht="25.5">
      <c r="A312" s="185" t="s">
        <v>694</v>
      </c>
      <c r="B312" s="183" t="s">
        <v>36</v>
      </c>
      <c r="C312" s="182"/>
      <c r="D312" s="184">
        <f>SUM(D313:D314)</f>
        <v>465699</v>
      </c>
      <c r="E312" s="176"/>
    </row>
    <row r="313" spans="1:5" ht="51">
      <c r="A313" s="13" t="s">
        <v>698</v>
      </c>
      <c r="B313" s="183" t="s">
        <v>36</v>
      </c>
      <c r="C313" s="182">
        <v>100</v>
      </c>
      <c r="D313" s="181">
        <v>445699</v>
      </c>
      <c r="E313" s="176"/>
    </row>
    <row r="314" spans="1:5" ht="25.5">
      <c r="A314" s="180" t="s">
        <v>212</v>
      </c>
      <c r="B314" s="179" t="s">
        <v>36</v>
      </c>
      <c r="C314" s="178">
        <v>200</v>
      </c>
      <c r="D314" s="177">
        <v>20000</v>
      </c>
      <c r="E314" s="176"/>
    </row>
    <row r="315" spans="1:5" ht="25.5">
      <c r="A315" s="191" t="s">
        <v>494</v>
      </c>
      <c r="B315" s="248" t="s">
        <v>493</v>
      </c>
      <c r="C315" s="249" t="s">
        <v>85</v>
      </c>
      <c r="D315" s="158">
        <f>D316</f>
        <v>897100</v>
      </c>
      <c r="E315" s="176"/>
    </row>
    <row r="316" spans="1:5" ht="12.75">
      <c r="A316" s="13" t="s">
        <v>492</v>
      </c>
      <c r="B316" s="183" t="s">
        <v>491</v>
      </c>
      <c r="C316" s="196"/>
      <c r="D316" s="184">
        <f>D317+D319</f>
        <v>897100</v>
      </c>
      <c r="E316" s="176"/>
    </row>
    <row r="317" spans="1:5" ht="25.5">
      <c r="A317" s="185" t="s">
        <v>34</v>
      </c>
      <c r="B317" s="183" t="s">
        <v>679</v>
      </c>
      <c r="C317" s="182"/>
      <c r="D317" s="184">
        <f>D318</f>
        <v>880900</v>
      </c>
      <c r="E317" s="176"/>
    </row>
    <row r="318" spans="1:5" ht="12.75">
      <c r="A318" s="13" t="s">
        <v>75</v>
      </c>
      <c r="B318" s="183" t="s">
        <v>679</v>
      </c>
      <c r="C318" s="182">
        <v>800</v>
      </c>
      <c r="D318" s="184">
        <v>880900</v>
      </c>
      <c r="E318" s="176"/>
    </row>
    <row r="319" spans="1:6" ht="25.5">
      <c r="A319" s="33" t="s">
        <v>490</v>
      </c>
      <c r="B319" s="183" t="s">
        <v>489</v>
      </c>
      <c r="C319" s="196" t="s">
        <v>85</v>
      </c>
      <c r="D319" s="184">
        <f>D320</f>
        <v>16200</v>
      </c>
      <c r="E319" s="176"/>
      <c r="F319" s="245"/>
    </row>
    <row r="320" spans="1:6" ht="25.5">
      <c r="A320" s="180" t="s">
        <v>89</v>
      </c>
      <c r="B320" s="179" t="s">
        <v>489</v>
      </c>
      <c r="C320" s="178">
        <v>200</v>
      </c>
      <c r="D320" s="177">
        <v>16200</v>
      </c>
      <c r="E320" s="176"/>
      <c r="F320" s="245"/>
    </row>
    <row r="321" spans="1:6" ht="25.5">
      <c r="A321" s="191" t="s">
        <v>593</v>
      </c>
      <c r="B321" s="248" t="s">
        <v>14</v>
      </c>
      <c r="C321" s="159"/>
      <c r="D321" s="158">
        <f>D322+D360</f>
        <v>31670820.5</v>
      </c>
      <c r="E321" s="176"/>
      <c r="F321" s="245"/>
    </row>
    <row r="322" spans="1:6" ht="12.75">
      <c r="A322" s="12" t="s">
        <v>603</v>
      </c>
      <c r="B322" s="186" t="s">
        <v>16</v>
      </c>
      <c r="C322" s="182"/>
      <c r="D322" s="184">
        <f>D323+D325+D328+D335+D342+D346+D350+D352+D358+D356+D354</f>
        <v>30540070.5</v>
      </c>
      <c r="E322" s="176"/>
      <c r="F322" s="245"/>
    </row>
    <row r="323" spans="1:6" ht="25.5">
      <c r="A323" s="27" t="s">
        <v>731</v>
      </c>
      <c r="B323" s="183" t="s">
        <v>43</v>
      </c>
      <c r="C323" s="182"/>
      <c r="D323" s="184">
        <f>D324</f>
        <v>1084220</v>
      </c>
      <c r="E323" s="176"/>
      <c r="F323" s="245"/>
    </row>
    <row r="324" spans="1:6" ht="25.5">
      <c r="A324" s="13" t="s">
        <v>89</v>
      </c>
      <c r="B324" s="183" t="s">
        <v>43</v>
      </c>
      <c r="C324" s="182">
        <v>200</v>
      </c>
      <c r="D324" s="181">
        <v>1084220</v>
      </c>
      <c r="E324" s="176"/>
      <c r="F324" s="245"/>
    </row>
    <row r="325" spans="1:6" ht="51">
      <c r="A325" s="27" t="s">
        <v>730</v>
      </c>
      <c r="B325" s="183" t="s">
        <v>44</v>
      </c>
      <c r="C325" s="183"/>
      <c r="D325" s="184">
        <f>D326+D327</f>
        <v>167350</v>
      </c>
      <c r="E325" s="176"/>
      <c r="F325" s="245"/>
    </row>
    <row r="326" spans="1:6" ht="51">
      <c r="A326" s="13" t="s">
        <v>698</v>
      </c>
      <c r="B326" s="183" t="s">
        <v>44</v>
      </c>
      <c r="C326" s="183">
        <v>100</v>
      </c>
      <c r="D326" s="181">
        <v>131226.27</v>
      </c>
      <c r="E326" s="176"/>
      <c r="F326" s="245"/>
    </row>
    <row r="327" spans="1:6" ht="25.5">
      <c r="A327" s="13" t="s">
        <v>89</v>
      </c>
      <c r="B327" s="183" t="s">
        <v>44</v>
      </c>
      <c r="C327" s="183">
        <v>200</v>
      </c>
      <c r="D327" s="181">
        <v>36123.73</v>
      </c>
      <c r="E327" s="176"/>
      <c r="F327" s="245"/>
    </row>
    <row r="328" spans="1:6" ht="12.75" hidden="1">
      <c r="A328" s="13" t="s">
        <v>681</v>
      </c>
      <c r="B328" s="183" t="s">
        <v>374</v>
      </c>
      <c r="C328" s="182"/>
      <c r="D328" s="184">
        <f>D329+D331+D333</f>
        <v>0</v>
      </c>
      <c r="E328" s="176"/>
      <c r="F328" s="245"/>
    </row>
    <row r="329" spans="1:6" ht="38.25" hidden="1">
      <c r="A329" s="139" t="s">
        <v>48</v>
      </c>
      <c r="B329" s="128" t="s">
        <v>47</v>
      </c>
      <c r="C329" s="127"/>
      <c r="D329" s="138">
        <f>D330</f>
        <v>0</v>
      </c>
      <c r="E329" s="176"/>
      <c r="F329" s="245"/>
    </row>
    <row r="330" spans="1:6" ht="25.5" hidden="1">
      <c r="A330" s="139" t="s">
        <v>212</v>
      </c>
      <c r="B330" s="128" t="s">
        <v>47</v>
      </c>
      <c r="C330" s="127">
        <v>200</v>
      </c>
      <c r="D330" s="138"/>
      <c r="E330" s="176"/>
      <c r="F330" s="245"/>
    </row>
    <row r="331" spans="1:6" ht="38.25" hidden="1">
      <c r="A331" s="139" t="s">
        <v>49</v>
      </c>
      <c r="B331" s="128" t="s">
        <v>50</v>
      </c>
      <c r="C331" s="127"/>
      <c r="D331" s="138">
        <f>D332</f>
        <v>0</v>
      </c>
      <c r="E331" s="176"/>
      <c r="F331" s="245"/>
    </row>
    <row r="332" spans="1:6" ht="25.5" hidden="1">
      <c r="A332" s="139" t="s">
        <v>212</v>
      </c>
      <c r="B332" s="128" t="s">
        <v>50</v>
      </c>
      <c r="C332" s="127">
        <v>200</v>
      </c>
      <c r="D332" s="138"/>
      <c r="E332" s="176"/>
      <c r="F332" s="245"/>
    </row>
    <row r="333" spans="1:6" ht="38.25" hidden="1">
      <c r="A333" s="139" t="s">
        <v>51</v>
      </c>
      <c r="B333" s="128" t="s">
        <v>52</v>
      </c>
      <c r="C333" s="127"/>
      <c r="D333" s="138">
        <f>D334</f>
        <v>0</v>
      </c>
      <c r="E333" s="176"/>
      <c r="F333" s="245"/>
    </row>
    <row r="334" spans="1:5" ht="25.5" hidden="1">
      <c r="A334" s="139" t="s">
        <v>212</v>
      </c>
      <c r="B334" s="128" t="s">
        <v>52</v>
      </c>
      <c r="C334" s="127">
        <v>200</v>
      </c>
      <c r="D334" s="138"/>
      <c r="E334" s="176"/>
    </row>
    <row r="335" spans="1:5" ht="12.75" hidden="1">
      <c r="A335" s="28" t="s">
        <v>711</v>
      </c>
      <c r="B335" s="183" t="s">
        <v>373</v>
      </c>
      <c r="C335" s="182"/>
      <c r="D335" s="184">
        <f>D336+D338+D340</f>
        <v>0</v>
      </c>
      <c r="E335" s="176"/>
    </row>
    <row r="336" spans="1:5" ht="38.25" hidden="1">
      <c r="A336" s="28" t="s">
        <v>53</v>
      </c>
      <c r="B336" s="128" t="s">
        <v>54</v>
      </c>
      <c r="C336" s="127"/>
      <c r="D336" s="138">
        <f>D337</f>
        <v>0</v>
      </c>
      <c r="E336" s="176"/>
    </row>
    <row r="337" spans="1:5" ht="25.5" hidden="1">
      <c r="A337" s="139" t="s">
        <v>212</v>
      </c>
      <c r="B337" s="128" t="s">
        <v>54</v>
      </c>
      <c r="C337" s="127">
        <v>200</v>
      </c>
      <c r="D337" s="138"/>
      <c r="E337" s="176"/>
    </row>
    <row r="338" spans="1:5" ht="38.25" hidden="1">
      <c r="A338" s="28" t="s">
        <v>55</v>
      </c>
      <c r="B338" s="128" t="s">
        <v>56</v>
      </c>
      <c r="C338" s="127"/>
      <c r="D338" s="138">
        <f>D339</f>
        <v>0</v>
      </c>
      <c r="E338" s="176"/>
    </row>
    <row r="339" spans="1:5" ht="25.5" hidden="1">
      <c r="A339" s="139" t="s">
        <v>212</v>
      </c>
      <c r="B339" s="128" t="s">
        <v>56</v>
      </c>
      <c r="C339" s="127">
        <v>200</v>
      </c>
      <c r="D339" s="138"/>
      <c r="E339" s="176"/>
    </row>
    <row r="340" spans="1:5" ht="38.25" hidden="1">
      <c r="A340" s="28" t="s">
        <v>57</v>
      </c>
      <c r="B340" s="128" t="s">
        <v>58</v>
      </c>
      <c r="C340" s="127"/>
      <c r="D340" s="138">
        <f>D341</f>
        <v>0</v>
      </c>
      <c r="E340" s="176"/>
    </row>
    <row r="341" spans="1:5" ht="25.5" hidden="1">
      <c r="A341" s="139" t="s">
        <v>212</v>
      </c>
      <c r="B341" s="128" t="s">
        <v>58</v>
      </c>
      <c r="C341" s="127">
        <v>200</v>
      </c>
      <c r="D341" s="138"/>
      <c r="E341" s="176"/>
    </row>
    <row r="342" spans="1:5" ht="25.5">
      <c r="A342" s="185" t="s">
        <v>468</v>
      </c>
      <c r="B342" s="183" t="s">
        <v>17</v>
      </c>
      <c r="C342" s="196" t="s">
        <v>85</v>
      </c>
      <c r="D342" s="184">
        <f>SUM(D343:D345)</f>
        <v>22527525</v>
      </c>
      <c r="E342" s="176"/>
    </row>
    <row r="343" spans="1:5" ht="51">
      <c r="A343" s="13" t="s">
        <v>698</v>
      </c>
      <c r="B343" s="183" t="s">
        <v>17</v>
      </c>
      <c r="C343" s="182" t="s">
        <v>565</v>
      </c>
      <c r="D343" s="181">
        <v>21478278</v>
      </c>
      <c r="E343" s="176"/>
    </row>
    <row r="344" spans="1:5" ht="25.5">
      <c r="A344" s="13" t="s">
        <v>212</v>
      </c>
      <c r="B344" s="183" t="s">
        <v>17</v>
      </c>
      <c r="C344" s="182" t="s">
        <v>72</v>
      </c>
      <c r="D344" s="181">
        <v>1000100</v>
      </c>
      <c r="E344" s="176"/>
    </row>
    <row r="345" spans="1:5" ht="12.75">
      <c r="A345" s="13" t="s">
        <v>75</v>
      </c>
      <c r="B345" s="183" t="s">
        <v>17</v>
      </c>
      <c r="C345" s="182" t="s">
        <v>76</v>
      </c>
      <c r="D345" s="181">
        <v>49147</v>
      </c>
      <c r="E345" s="176"/>
    </row>
    <row r="346" spans="1:6" ht="25.5">
      <c r="A346" s="185" t="s">
        <v>34</v>
      </c>
      <c r="B346" s="183" t="s">
        <v>325</v>
      </c>
      <c r="C346" s="182"/>
      <c r="D346" s="181">
        <f>D349+D348+D347</f>
        <v>5779774.5</v>
      </c>
      <c r="E346" s="176"/>
      <c r="F346" s="243"/>
    </row>
    <row r="347" spans="1:6" ht="25.5" hidden="1">
      <c r="A347" s="13" t="s">
        <v>212</v>
      </c>
      <c r="B347" s="183" t="s">
        <v>325</v>
      </c>
      <c r="C347" s="182">
        <v>200</v>
      </c>
      <c r="D347" s="181">
        <v>0</v>
      </c>
      <c r="E347" s="176"/>
      <c r="F347" s="243"/>
    </row>
    <row r="348" spans="1:6" ht="12.75" hidden="1">
      <c r="A348" s="129" t="s">
        <v>79</v>
      </c>
      <c r="B348" s="183" t="s">
        <v>325</v>
      </c>
      <c r="C348" s="182">
        <v>300</v>
      </c>
      <c r="D348" s="181"/>
      <c r="E348" s="176"/>
      <c r="F348" s="243"/>
    </row>
    <row r="349" spans="1:6" ht="12.75">
      <c r="A349" s="13" t="s">
        <v>75</v>
      </c>
      <c r="B349" s="183" t="s">
        <v>325</v>
      </c>
      <c r="C349" s="182">
        <v>800</v>
      </c>
      <c r="D349" s="181">
        <v>5779774.5</v>
      </c>
      <c r="E349" s="176"/>
      <c r="F349" s="243"/>
    </row>
    <row r="350" spans="1:6" ht="25.5">
      <c r="A350" s="53" t="s">
        <v>94</v>
      </c>
      <c r="B350" s="47" t="s">
        <v>95</v>
      </c>
      <c r="C350" s="59"/>
      <c r="D350" s="52">
        <f>D351</f>
        <v>400000</v>
      </c>
      <c r="E350" s="176"/>
      <c r="F350" s="243"/>
    </row>
    <row r="351" spans="1:6" ht="25.5">
      <c r="A351" s="53" t="s">
        <v>212</v>
      </c>
      <c r="B351" s="47" t="s">
        <v>95</v>
      </c>
      <c r="C351" s="59">
        <v>200</v>
      </c>
      <c r="D351" s="55">
        <v>400000</v>
      </c>
      <c r="E351" s="247"/>
      <c r="F351" s="246"/>
    </row>
    <row r="352" spans="1:6" ht="25.5">
      <c r="A352" s="185" t="s">
        <v>438</v>
      </c>
      <c r="B352" s="183" t="s">
        <v>18</v>
      </c>
      <c r="C352" s="196" t="s">
        <v>85</v>
      </c>
      <c r="D352" s="184">
        <f>D353</f>
        <v>540000</v>
      </c>
      <c r="E352" s="244"/>
      <c r="F352" s="245"/>
    </row>
    <row r="353" spans="1:6" ht="25.5">
      <c r="A353" s="185" t="s">
        <v>212</v>
      </c>
      <c r="B353" s="183" t="s">
        <v>18</v>
      </c>
      <c r="C353" s="59">
        <v>200</v>
      </c>
      <c r="D353" s="184">
        <v>540000</v>
      </c>
      <c r="E353" s="244"/>
      <c r="F353" s="245"/>
    </row>
    <row r="354" spans="1:6" ht="12.75" hidden="1">
      <c r="A354" s="129"/>
      <c r="B354" s="391"/>
      <c r="C354" s="390"/>
      <c r="D354" s="215">
        <f>D355</f>
        <v>0</v>
      </c>
      <c r="E354" s="244"/>
      <c r="F354" s="245"/>
    </row>
    <row r="355" spans="1:6" ht="12.75" hidden="1">
      <c r="A355" s="73"/>
      <c r="B355" s="391"/>
      <c r="C355" s="71"/>
      <c r="D355" s="215"/>
      <c r="E355" s="244"/>
      <c r="F355" s="245"/>
    </row>
    <row r="356" spans="1:6" ht="38.25">
      <c r="A356" s="294" t="s">
        <v>830</v>
      </c>
      <c r="B356" s="149" t="s">
        <v>831</v>
      </c>
      <c r="C356" s="312"/>
      <c r="D356" s="215">
        <f>D357</f>
        <v>41201</v>
      </c>
      <c r="E356" s="244"/>
      <c r="F356" s="243"/>
    </row>
    <row r="357" spans="1:6" ht="25.5">
      <c r="A357" s="292" t="s">
        <v>212</v>
      </c>
      <c r="B357" s="149" t="s">
        <v>831</v>
      </c>
      <c r="C357" s="312">
        <v>200</v>
      </c>
      <c r="D357" s="215">
        <v>41201</v>
      </c>
      <c r="E357" s="176"/>
      <c r="F357" s="120"/>
    </row>
    <row r="358" spans="1:6" ht="12.75" hidden="1">
      <c r="A358" s="156" t="s">
        <v>779</v>
      </c>
      <c r="B358" s="124" t="s">
        <v>778</v>
      </c>
      <c r="C358" s="155"/>
      <c r="D358" s="225">
        <f>D359</f>
        <v>0</v>
      </c>
      <c r="E358" s="176"/>
      <c r="F358" s="120"/>
    </row>
    <row r="359" spans="1:6" ht="25.5" hidden="1">
      <c r="A359" s="125" t="s">
        <v>212</v>
      </c>
      <c r="B359" s="124" t="s">
        <v>778</v>
      </c>
      <c r="C359" s="124">
        <v>200</v>
      </c>
      <c r="D359" s="225"/>
      <c r="E359" s="176"/>
      <c r="F359" s="120"/>
    </row>
    <row r="360" spans="1:6" ht="12.75">
      <c r="A360" s="139" t="s">
        <v>890</v>
      </c>
      <c r="B360" s="128" t="s">
        <v>908</v>
      </c>
      <c r="C360" s="127"/>
      <c r="D360" s="354">
        <f>D361</f>
        <v>1130750</v>
      </c>
      <c r="E360" s="176"/>
      <c r="F360" s="120"/>
    </row>
    <row r="361" spans="1:6" ht="12.75">
      <c r="A361" s="398" t="s">
        <v>917</v>
      </c>
      <c r="B361" s="128" t="s">
        <v>909</v>
      </c>
      <c r="C361" s="127"/>
      <c r="D361" s="354">
        <f>D362</f>
        <v>1130750</v>
      </c>
      <c r="E361" s="176"/>
      <c r="F361" s="120"/>
    </row>
    <row r="362" spans="1:6" ht="25.5">
      <c r="A362" s="139" t="s">
        <v>148</v>
      </c>
      <c r="B362" s="128" t="s">
        <v>909</v>
      </c>
      <c r="C362" s="127">
        <v>800</v>
      </c>
      <c r="D362" s="354">
        <v>1130750</v>
      </c>
      <c r="E362" s="176"/>
      <c r="F362" s="120"/>
    </row>
    <row r="363" spans="1:6" ht="12.75">
      <c r="A363" s="405" t="s">
        <v>169</v>
      </c>
      <c r="B363" s="406" t="s">
        <v>662</v>
      </c>
      <c r="C363" s="406" t="s">
        <v>85</v>
      </c>
      <c r="D363" s="407">
        <f>D364</f>
        <v>300000</v>
      </c>
      <c r="E363" s="120"/>
      <c r="F363" s="120"/>
    </row>
    <row r="364" spans="1:6" ht="12.75">
      <c r="A364" s="13" t="s">
        <v>509</v>
      </c>
      <c r="B364" s="182" t="s">
        <v>663</v>
      </c>
      <c r="C364" s="182" t="s">
        <v>85</v>
      </c>
      <c r="D364" s="184">
        <f>D365</f>
        <v>300000</v>
      </c>
      <c r="E364" s="176"/>
      <c r="F364" s="120"/>
    </row>
    <row r="365" spans="1:6" ht="12.75">
      <c r="A365" s="408" t="s">
        <v>245</v>
      </c>
      <c r="B365" s="409" t="s">
        <v>206</v>
      </c>
      <c r="C365" s="410" t="s">
        <v>85</v>
      </c>
      <c r="D365" s="411">
        <f>D366</f>
        <v>300000</v>
      </c>
      <c r="E365" s="120"/>
      <c r="F365" s="120"/>
    </row>
    <row r="366" spans="1:6" ht="12.75">
      <c r="A366" s="180" t="s">
        <v>75</v>
      </c>
      <c r="B366" s="178" t="s">
        <v>206</v>
      </c>
      <c r="C366" s="178" t="s">
        <v>76</v>
      </c>
      <c r="D366" s="177">
        <v>300000</v>
      </c>
      <c r="E366" s="176"/>
      <c r="F366" s="120"/>
    </row>
    <row r="367" spans="5:6" ht="12.75">
      <c r="E367" s="176"/>
      <c r="F367" s="120"/>
    </row>
    <row r="368" spans="5:6" ht="12.75">
      <c r="E368" s="176"/>
      <c r="F368" s="120"/>
    </row>
  </sheetData>
  <sheetProtection/>
  <mergeCells count="1">
    <mergeCell ref="A3:D3"/>
  </mergeCells>
  <printOptions/>
  <pageMargins left="0.7874015748031497" right="0.16" top="0.5905511811023623" bottom="0.3937007874015748" header="0.31496062992125984" footer="0.31496062992125984"/>
  <pageSetup fitToHeight="0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9999"/>
  </sheetPr>
  <dimension ref="A1:G298"/>
  <sheetViews>
    <sheetView showGridLines="0" zoomScaleSheetLayoutView="100" zoomScalePageLayoutView="0" workbookViewId="0" topLeftCell="A1">
      <selection activeCell="E162" sqref="E162"/>
    </sheetView>
  </sheetViews>
  <sheetFormatPr defaultColWidth="9.140625" defaultRowHeight="12.75"/>
  <cols>
    <col min="1" max="1" width="46.00390625" style="92" customWidth="1"/>
    <col min="2" max="2" width="13.421875" style="92" bestFit="1" customWidth="1"/>
    <col min="3" max="3" width="4.57421875" style="92" customWidth="1"/>
    <col min="4" max="5" width="14.00390625" style="506" customWidth="1"/>
    <col min="6" max="7" width="10.00390625" style="92" bestFit="1" customWidth="1"/>
    <col min="8" max="16384" width="9.140625" style="92" customWidth="1"/>
  </cols>
  <sheetData>
    <row r="1" spans="1:5" ht="12.75">
      <c r="A1" s="90"/>
      <c r="B1" s="91"/>
      <c r="C1" s="91"/>
      <c r="D1" s="500"/>
      <c r="E1" s="500" t="s">
        <v>417</v>
      </c>
    </row>
    <row r="2" spans="1:5" ht="12.75">
      <c r="A2" s="90"/>
      <c r="B2" s="91"/>
      <c r="C2" s="91"/>
      <c r="D2" s="452"/>
      <c r="E2" s="452" t="s">
        <v>247</v>
      </c>
    </row>
    <row r="3" spans="1:5" ht="12.75">
      <c r="A3" s="514" t="s">
        <v>985</v>
      </c>
      <c r="B3" s="514"/>
      <c r="C3" s="514"/>
      <c r="D3" s="514"/>
      <c r="E3" s="514"/>
    </row>
    <row r="4" spans="1:5" ht="12.75">
      <c r="A4" s="93"/>
      <c r="B4" s="91"/>
      <c r="C4" s="91"/>
      <c r="D4" s="501"/>
      <c r="E4" s="501"/>
    </row>
    <row r="5" spans="1:5" ht="51" customHeight="1">
      <c r="A5" s="513" t="s">
        <v>875</v>
      </c>
      <c r="B5" s="513"/>
      <c r="C5" s="513"/>
      <c r="D5" s="513"/>
      <c r="E5" s="513"/>
    </row>
    <row r="6" spans="1:5" ht="12.75">
      <c r="A6" s="169"/>
      <c r="B6" s="169"/>
      <c r="C6" s="169"/>
      <c r="D6" s="502"/>
      <c r="E6" s="502" t="s">
        <v>86</v>
      </c>
    </row>
    <row r="7" spans="1:5" ht="22.5">
      <c r="A7" s="167" t="s">
        <v>82</v>
      </c>
      <c r="B7" s="167" t="s">
        <v>499</v>
      </c>
      <c r="C7" s="167" t="s">
        <v>500</v>
      </c>
      <c r="D7" s="503" t="s">
        <v>570</v>
      </c>
      <c r="E7" s="503" t="s">
        <v>874</v>
      </c>
    </row>
    <row r="8" spans="1:7" ht="12.75">
      <c r="A8" s="266" t="s">
        <v>70</v>
      </c>
      <c r="B8" s="266">
        <v>2</v>
      </c>
      <c r="C8" s="266">
        <v>3</v>
      </c>
      <c r="D8" s="504">
        <v>4</v>
      </c>
      <c r="E8" s="504">
        <v>4</v>
      </c>
      <c r="F8" s="112"/>
      <c r="G8" s="112"/>
    </row>
    <row r="9" spans="1:5" ht="12.75">
      <c r="A9" s="164" t="s">
        <v>87</v>
      </c>
      <c r="B9" s="163" t="s">
        <v>85</v>
      </c>
      <c r="C9" s="163" t="s">
        <v>85</v>
      </c>
      <c r="D9" s="482">
        <f>D10+D23+D71+D138+D144+D161+D177+D196+D205+D212+D223+D227+D237+D241+D246+D250+D259+D267+D273+D294+D298</f>
        <v>483356646</v>
      </c>
      <c r="E9" s="482">
        <f>E10+E23+E71+E138+E144+E161+E177+E196+E205+E212+E223+E227+E237+E241+E246+E250+E259+E267+E273+E294+E298</f>
        <v>444041858.38</v>
      </c>
    </row>
    <row r="10" spans="1:5" ht="25.5">
      <c r="A10" s="264" t="s">
        <v>15</v>
      </c>
      <c r="B10" s="263" t="s">
        <v>299</v>
      </c>
      <c r="C10" s="262" t="s">
        <v>85</v>
      </c>
      <c r="D10" s="491">
        <f>D11+D17</f>
        <v>28550829</v>
      </c>
      <c r="E10" s="491">
        <f>E11+E17</f>
        <v>26809744</v>
      </c>
    </row>
    <row r="11" spans="1:5" ht="27" customHeight="1">
      <c r="A11" s="12" t="s">
        <v>559</v>
      </c>
      <c r="B11" s="183" t="s">
        <v>300</v>
      </c>
      <c r="C11" s="182" t="s">
        <v>85</v>
      </c>
      <c r="D11" s="484">
        <f>D12</f>
        <v>5429723</v>
      </c>
      <c r="E11" s="484">
        <f>E12</f>
        <v>5096823</v>
      </c>
    </row>
    <row r="12" spans="1:5" ht="25.5">
      <c r="A12" s="29" t="s">
        <v>457</v>
      </c>
      <c r="B12" s="183" t="s">
        <v>301</v>
      </c>
      <c r="C12" s="182"/>
      <c r="D12" s="484">
        <f>D13</f>
        <v>5429723</v>
      </c>
      <c r="E12" s="484">
        <f>E13</f>
        <v>5096823</v>
      </c>
    </row>
    <row r="13" spans="1:5" ht="25.5">
      <c r="A13" s="185" t="s">
        <v>696</v>
      </c>
      <c r="B13" s="183" t="s">
        <v>302</v>
      </c>
      <c r="C13" s="182" t="s">
        <v>85</v>
      </c>
      <c r="D13" s="484">
        <f>SUM(D14:D16)</f>
        <v>5429723</v>
      </c>
      <c r="E13" s="484">
        <f>SUM(E14:E16)</f>
        <v>5096823</v>
      </c>
    </row>
    <row r="14" spans="1:5" ht="63.75">
      <c r="A14" s="13" t="s">
        <v>698</v>
      </c>
      <c r="B14" s="183" t="s">
        <v>302</v>
      </c>
      <c r="C14" s="182">
        <v>100</v>
      </c>
      <c r="D14" s="485">
        <v>5205523</v>
      </c>
      <c r="E14" s="485">
        <v>4886368</v>
      </c>
    </row>
    <row r="15" spans="1:5" ht="25.5">
      <c r="A15" s="13" t="s">
        <v>212</v>
      </c>
      <c r="B15" s="183" t="s">
        <v>302</v>
      </c>
      <c r="C15" s="182">
        <v>200</v>
      </c>
      <c r="D15" s="485">
        <v>191304</v>
      </c>
      <c r="E15" s="485">
        <v>179576</v>
      </c>
    </row>
    <row r="16" spans="1:5" ht="12.75">
      <c r="A16" s="13" t="s">
        <v>75</v>
      </c>
      <c r="B16" s="183" t="s">
        <v>302</v>
      </c>
      <c r="C16" s="182">
        <v>800</v>
      </c>
      <c r="D16" s="485">
        <v>32896</v>
      </c>
      <c r="E16" s="485">
        <v>30879</v>
      </c>
    </row>
    <row r="17" spans="1:5" ht="27.75" customHeight="1">
      <c r="A17" s="12" t="s">
        <v>560</v>
      </c>
      <c r="B17" s="183" t="s">
        <v>303</v>
      </c>
      <c r="C17" s="182"/>
      <c r="D17" s="484">
        <f>D18</f>
        <v>23121106</v>
      </c>
      <c r="E17" s="484">
        <f>E18</f>
        <v>21712921</v>
      </c>
    </row>
    <row r="18" spans="1:5" ht="51">
      <c r="A18" s="29" t="s">
        <v>608</v>
      </c>
      <c r="B18" s="183" t="s">
        <v>304</v>
      </c>
      <c r="C18" s="182"/>
      <c r="D18" s="484">
        <f>D19+D21</f>
        <v>23121106</v>
      </c>
      <c r="E18" s="484">
        <f>E19+E21</f>
        <v>21712921</v>
      </c>
    </row>
    <row r="19" spans="1:5" ht="25.5">
      <c r="A19" s="185" t="s">
        <v>696</v>
      </c>
      <c r="B19" s="183" t="s">
        <v>305</v>
      </c>
      <c r="C19" s="182"/>
      <c r="D19" s="484">
        <f>D20</f>
        <v>23031106</v>
      </c>
      <c r="E19" s="484">
        <f>E20</f>
        <v>21619052</v>
      </c>
    </row>
    <row r="20" spans="1:5" ht="38.25">
      <c r="A20" s="13" t="s">
        <v>88</v>
      </c>
      <c r="B20" s="183" t="s">
        <v>305</v>
      </c>
      <c r="C20" s="182">
        <v>600</v>
      </c>
      <c r="D20" s="485">
        <v>23031106</v>
      </c>
      <c r="E20" s="485">
        <v>21619052</v>
      </c>
    </row>
    <row r="21" spans="1:5" ht="36">
      <c r="A21" s="30" t="s">
        <v>275</v>
      </c>
      <c r="B21" s="183" t="s">
        <v>254</v>
      </c>
      <c r="C21" s="182"/>
      <c r="D21" s="484">
        <f>D22</f>
        <v>90000</v>
      </c>
      <c r="E21" s="484">
        <f>E22</f>
        <v>93869</v>
      </c>
    </row>
    <row r="22" spans="1:5" ht="25.5">
      <c r="A22" s="180" t="s">
        <v>89</v>
      </c>
      <c r="B22" s="179" t="s">
        <v>254</v>
      </c>
      <c r="C22" s="178">
        <v>200</v>
      </c>
      <c r="D22" s="489">
        <v>90000</v>
      </c>
      <c r="E22" s="489">
        <v>93869</v>
      </c>
    </row>
    <row r="23" spans="1:5" ht="25.5">
      <c r="A23" s="191" t="s">
        <v>157</v>
      </c>
      <c r="B23" s="248" t="s">
        <v>207</v>
      </c>
      <c r="C23" s="159" t="s">
        <v>85</v>
      </c>
      <c r="D23" s="483">
        <f>D24+D37+D53</f>
        <v>69446554</v>
      </c>
      <c r="E23" s="483">
        <f>E24+E37+E53</f>
        <v>70386982</v>
      </c>
    </row>
    <row r="24" spans="1:5" ht="51">
      <c r="A24" s="12" t="s">
        <v>355</v>
      </c>
      <c r="B24" s="186" t="s">
        <v>6</v>
      </c>
      <c r="C24" s="182" t="s">
        <v>85</v>
      </c>
      <c r="D24" s="484">
        <f>D25+D28</f>
        <v>3437700</v>
      </c>
      <c r="E24" s="484">
        <f>E25+E28</f>
        <v>3437700</v>
      </c>
    </row>
    <row r="25" spans="1:5" ht="51" hidden="1">
      <c r="A25" s="31" t="s">
        <v>424</v>
      </c>
      <c r="B25" s="186" t="s">
        <v>129</v>
      </c>
      <c r="C25" s="182"/>
      <c r="D25" s="484">
        <f>D26</f>
        <v>0</v>
      </c>
      <c r="E25" s="484">
        <f>E26</f>
        <v>0</v>
      </c>
    </row>
    <row r="26" spans="1:5" ht="38.25" hidden="1">
      <c r="A26" s="185" t="s">
        <v>592</v>
      </c>
      <c r="B26" s="183" t="s">
        <v>425</v>
      </c>
      <c r="C26" s="182" t="s">
        <v>85</v>
      </c>
      <c r="D26" s="484">
        <f>D27</f>
        <v>0</v>
      </c>
      <c r="E26" s="484">
        <f>E27</f>
        <v>0</v>
      </c>
    </row>
    <row r="27" spans="1:5" ht="38.25" hidden="1">
      <c r="A27" s="13" t="s">
        <v>88</v>
      </c>
      <c r="B27" s="183" t="s">
        <v>425</v>
      </c>
      <c r="C27" s="182" t="s">
        <v>77</v>
      </c>
      <c r="D27" s="485"/>
      <c r="E27" s="485"/>
    </row>
    <row r="28" spans="1:5" ht="51">
      <c r="A28" s="32" t="s">
        <v>724</v>
      </c>
      <c r="B28" s="186" t="s">
        <v>725</v>
      </c>
      <c r="C28" s="182"/>
      <c r="D28" s="484">
        <f>D29+D33</f>
        <v>3437700</v>
      </c>
      <c r="E28" s="484">
        <f>E29+E33</f>
        <v>3437700</v>
      </c>
    </row>
    <row r="29" spans="1:5" ht="38.25">
      <c r="A29" s="185" t="s">
        <v>365</v>
      </c>
      <c r="B29" s="186" t="s">
        <v>726</v>
      </c>
      <c r="C29" s="182" t="s">
        <v>85</v>
      </c>
      <c r="D29" s="484">
        <f>SUM(D30:D32)</f>
        <v>2342900</v>
      </c>
      <c r="E29" s="484">
        <f>SUM(E30:E32)</f>
        <v>2342900</v>
      </c>
    </row>
    <row r="30" spans="1:5" ht="63.75">
      <c r="A30" s="13" t="s">
        <v>698</v>
      </c>
      <c r="B30" s="186" t="s">
        <v>726</v>
      </c>
      <c r="C30" s="182">
        <v>100</v>
      </c>
      <c r="D30" s="485">
        <v>2232400</v>
      </c>
      <c r="E30" s="485">
        <v>2232400</v>
      </c>
    </row>
    <row r="31" spans="1:5" ht="25.5">
      <c r="A31" s="13" t="s">
        <v>212</v>
      </c>
      <c r="B31" s="186" t="s">
        <v>726</v>
      </c>
      <c r="C31" s="182">
        <v>200</v>
      </c>
      <c r="D31" s="485">
        <v>110000</v>
      </c>
      <c r="E31" s="485">
        <v>110000</v>
      </c>
    </row>
    <row r="32" spans="1:5" ht="12.75">
      <c r="A32" s="13" t="s">
        <v>75</v>
      </c>
      <c r="B32" s="186" t="s">
        <v>726</v>
      </c>
      <c r="C32" s="182">
        <v>800</v>
      </c>
      <c r="D32" s="485">
        <v>500</v>
      </c>
      <c r="E32" s="485">
        <v>500</v>
      </c>
    </row>
    <row r="33" spans="1:5" ht="62.25" customHeight="1">
      <c r="A33" s="139" t="s">
        <v>673</v>
      </c>
      <c r="B33" s="186" t="s">
        <v>317</v>
      </c>
      <c r="C33" s="182"/>
      <c r="D33" s="485">
        <f>D34+D35+D36</f>
        <v>1094800</v>
      </c>
      <c r="E33" s="485">
        <f>E34+E35+E36</f>
        <v>1094800</v>
      </c>
    </row>
    <row r="34" spans="1:5" ht="63.75">
      <c r="A34" s="13" t="s">
        <v>698</v>
      </c>
      <c r="B34" s="186" t="s">
        <v>317</v>
      </c>
      <c r="C34" s="182">
        <v>100</v>
      </c>
      <c r="D34" s="485">
        <v>982100</v>
      </c>
      <c r="E34" s="485">
        <v>982100</v>
      </c>
    </row>
    <row r="35" spans="1:5" ht="25.5">
      <c r="A35" s="13" t="s">
        <v>212</v>
      </c>
      <c r="B35" s="186" t="s">
        <v>317</v>
      </c>
      <c r="C35" s="182">
        <v>200</v>
      </c>
      <c r="D35" s="485">
        <v>112200</v>
      </c>
      <c r="E35" s="485">
        <v>112200</v>
      </c>
    </row>
    <row r="36" spans="1:5" ht="12.75">
      <c r="A36" s="13" t="s">
        <v>75</v>
      </c>
      <c r="B36" s="186" t="s">
        <v>317</v>
      </c>
      <c r="C36" s="182">
        <v>800</v>
      </c>
      <c r="D36" s="485">
        <v>500</v>
      </c>
      <c r="E36" s="485">
        <v>500</v>
      </c>
    </row>
    <row r="37" spans="1:5" ht="51">
      <c r="A37" s="12" t="s">
        <v>158</v>
      </c>
      <c r="B37" s="186" t="s">
        <v>114</v>
      </c>
      <c r="C37" s="182" t="s">
        <v>85</v>
      </c>
      <c r="D37" s="484">
        <f>D38+D45+D49</f>
        <v>7465212</v>
      </c>
      <c r="E37" s="484">
        <f>E38+E45+E49</f>
        <v>7465212</v>
      </c>
    </row>
    <row r="38" spans="1:5" ht="25.5">
      <c r="A38" s="29" t="s">
        <v>609</v>
      </c>
      <c r="B38" s="186" t="s">
        <v>123</v>
      </c>
      <c r="C38" s="182"/>
      <c r="D38" s="484">
        <f>D39+D42</f>
        <v>7074641</v>
      </c>
      <c r="E38" s="484">
        <f>E39+E42</f>
        <v>7074641</v>
      </c>
    </row>
    <row r="39" spans="1:5" ht="25.5">
      <c r="A39" s="185" t="s">
        <v>562</v>
      </c>
      <c r="B39" s="183" t="s">
        <v>610</v>
      </c>
      <c r="C39" s="182" t="s">
        <v>85</v>
      </c>
      <c r="D39" s="484">
        <f>SUM(D40:D41)</f>
        <v>6592141</v>
      </c>
      <c r="E39" s="484">
        <f>SUM(E40:E41)</f>
        <v>6592141</v>
      </c>
    </row>
    <row r="40" spans="1:5" ht="25.5">
      <c r="A40" s="13" t="s">
        <v>212</v>
      </c>
      <c r="B40" s="183" t="s">
        <v>610</v>
      </c>
      <c r="C40" s="182">
        <v>200</v>
      </c>
      <c r="D40" s="485">
        <v>71000</v>
      </c>
      <c r="E40" s="485">
        <v>71000</v>
      </c>
    </row>
    <row r="41" spans="1:5" ht="25.5">
      <c r="A41" s="13" t="s">
        <v>79</v>
      </c>
      <c r="B41" s="183" t="s">
        <v>610</v>
      </c>
      <c r="C41" s="182">
        <v>300</v>
      </c>
      <c r="D41" s="485">
        <v>6521141</v>
      </c>
      <c r="E41" s="485">
        <v>6521141</v>
      </c>
    </row>
    <row r="42" spans="1:5" ht="25.5">
      <c r="A42" s="185" t="s">
        <v>563</v>
      </c>
      <c r="B42" s="183" t="s">
        <v>611</v>
      </c>
      <c r="C42" s="182" t="s">
        <v>85</v>
      </c>
      <c r="D42" s="484">
        <f>SUM(D43:D44)</f>
        <v>482500</v>
      </c>
      <c r="E42" s="484">
        <f>SUM(E43:E44)</f>
        <v>482500</v>
      </c>
    </row>
    <row r="43" spans="1:5" ht="25.5">
      <c r="A43" s="13" t="s">
        <v>212</v>
      </c>
      <c r="B43" s="183" t="s">
        <v>611</v>
      </c>
      <c r="C43" s="182">
        <v>200</v>
      </c>
      <c r="D43" s="485">
        <v>9500</v>
      </c>
      <c r="E43" s="485">
        <v>9500</v>
      </c>
    </row>
    <row r="44" spans="1:5" ht="25.5">
      <c r="A44" s="13" t="s">
        <v>79</v>
      </c>
      <c r="B44" s="183" t="s">
        <v>611</v>
      </c>
      <c r="C44" s="182" t="s">
        <v>78</v>
      </c>
      <c r="D44" s="485">
        <v>473000</v>
      </c>
      <c r="E44" s="485">
        <v>473000</v>
      </c>
    </row>
    <row r="45" spans="1:5" ht="25.5">
      <c r="A45" s="28" t="s">
        <v>120</v>
      </c>
      <c r="B45" s="186" t="s">
        <v>124</v>
      </c>
      <c r="C45" s="200"/>
      <c r="D45" s="484">
        <f>D46</f>
        <v>125083</v>
      </c>
      <c r="E45" s="484">
        <f>E46</f>
        <v>125083</v>
      </c>
    </row>
    <row r="46" spans="1:5" ht="38.25">
      <c r="A46" s="185" t="s">
        <v>246</v>
      </c>
      <c r="B46" s="183" t="s">
        <v>125</v>
      </c>
      <c r="C46" s="182" t="s">
        <v>85</v>
      </c>
      <c r="D46" s="484">
        <f>SUM(D47:D48)</f>
        <v>125083</v>
      </c>
      <c r="E46" s="484">
        <f>SUM(E47:E48)</f>
        <v>125083</v>
      </c>
    </row>
    <row r="47" spans="1:5" ht="25.5">
      <c r="A47" s="13" t="s">
        <v>212</v>
      </c>
      <c r="B47" s="183" t="s">
        <v>125</v>
      </c>
      <c r="C47" s="182">
        <v>200</v>
      </c>
      <c r="D47" s="484">
        <v>1900</v>
      </c>
      <c r="E47" s="484">
        <v>1900</v>
      </c>
    </row>
    <row r="48" spans="1:5" ht="25.5">
      <c r="A48" s="13" t="s">
        <v>79</v>
      </c>
      <c r="B48" s="183" t="s">
        <v>125</v>
      </c>
      <c r="C48" s="182" t="s">
        <v>78</v>
      </c>
      <c r="D48" s="485">
        <v>123183</v>
      </c>
      <c r="E48" s="485">
        <v>123183</v>
      </c>
    </row>
    <row r="49" spans="1:5" ht="38.25">
      <c r="A49" s="31" t="s">
        <v>612</v>
      </c>
      <c r="B49" s="186" t="s">
        <v>126</v>
      </c>
      <c r="C49" s="200"/>
      <c r="D49" s="484">
        <f>D50</f>
        <v>265488</v>
      </c>
      <c r="E49" s="484">
        <f>E50</f>
        <v>265488</v>
      </c>
    </row>
    <row r="50" spans="1:5" ht="38.25">
      <c r="A50" s="185" t="s">
        <v>466</v>
      </c>
      <c r="B50" s="183" t="s">
        <v>127</v>
      </c>
      <c r="C50" s="182" t="s">
        <v>85</v>
      </c>
      <c r="D50" s="484">
        <f>SUM(D51:D52)</f>
        <v>265488</v>
      </c>
      <c r="E50" s="484">
        <f>SUM(E51:E52)</f>
        <v>265488</v>
      </c>
    </row>
    <row r="51" spans="1:5" ht="25.5">
      <c r="A51" s="13" t="s">
        <v>212</v>
      </c>
      <c r="B51" s="183" t="s">
        <v>127</v>
      </c>
      <c r="C51" s="182">
        <v>200</v>
      </c>
      <c r="D51" s="485">
        <v>2000</v>
      </c>
      <c r="E51" s="485">
        <v>2000</v>
      </c>
    </row>
    <row r="52" spans="1:5" ht="25.5">
      <c r="A52" s="13" t="s">
        <v>79</v>
      </c>
      <c r="B52" s="183" t="s">
        <v>127</v>
      </c>
      <c r="C52" s="182">
        <v>300</v>
      </c>
      <c r="D52" s="485">
        <v>263488</v>
      </c>
      <c r="E52" s="485">
        <v>263488</v>
      </c>
    </row>
    <row r="53" spans="1:5" ht="63.75">
      <c r="A53" s="12" t="s">
        <v>167</v>
      </c>
      <c r="B53" s="200" t="s">
        <v>7</v>
      </c>
      <c r="C53" s="200"/>
      <c r="D53" s="484">
        <f>D54+D61+D64+D68</f>
        <v>58543642</v>
      </c>
      <c r="E53" s="484">
        <f>E54+E61+E64+E68</f>
        <v>59484070</v>
      </c>
    </row>
    <row r="54" spans="1:5" ht="38.25">
      <c r="A54" s="29" t="s">
        <v>720</v>
      </c>
      <c r="B54" s="200" t="s">
        <v>121</v>
      </c>
      <c r="C54" s="182"/>
      <c r="D54" s="484">
        <f>D55+D57+D59</f>
        <v>47192196</v>
      </c>
      <c r="E54" s="484">
        <f>E55+E57+E59</f>
        <v>50039667</v>
      </c>
    </row>
    <row r="55" spans="1:5" ht="12.75">
      <c r="A55" s="28" t="s">
        <v>528</v>
      </c>
      <c r="B55" s="183" t="s">
        <v>721</v>
      </c>
      <c r="C55" s="182"/>
      <c r="D55" s="484">
        <f>D56</f>
        <v>1707915</v>
      </c>
      <c r="E55" s="484">
        <f>E56</f>
        <v>1707915</v>
      </c>
    </row>
    <row r="56" spans="1:5" ht="25.5">
      <c r="A56" s="13" t="s">
        <v>79</v>
      </c>
      <c r="B56" s="183" t="s">
        <v>721</v>
      </c>
      <c r="C56" s="182">
        <v>300</v>
      </c>
      <c r="D56" s="485">
        <v>1707915</v>
      </c>
      <c r="E56" s="485">
        <v>1707915</v>
      </c>
    </row>
    <row r="57" spans="1:5" ht="25.5">
      <c r="A57" s="141" t="s">
        <v>484</v>
      </c>
      <c r="B57" s="183" t="s">
        <v>485</v>
      </c>
      <c r="C57" s="182"/>
      <c r="D57" s="485">
        <f>D58</f>
        <v>44608300</v>
      </c>
      <c r="E57" s="485">
        <f>E58</f>
        <v>47416182</v>
      </c>
    </row>
    <row r="58" spans="1:5" ht="25.5">
      <c r="A58" s="13" t="s">
        <v>79</v>
      </c>
      <c r="B58" s="183" t="s">
        <v>485</v>
      </c>
      <c r="C58" s="182">
        <v>300</v>
      </c>
      <c r="D58" s="485">
        <v>44608300</v>
      </c>
      <c r="E58" s="485">
        <v>47416182</v>
      </c>
    </row>
    <row r="59" spans="1:5" ht="38.25">
      <c r="A59" s="141" t="s">
        <v>486</v>
      </c>
      <c r="B59" s="183" t="s">
        <v>487</v>
      </c>
      <c r="C59" s="182"/>
      <c r="D59" s="485">
        <f>D60</f>
        <v>875981</v>
      </c>
      <c r="E59" s="485">
        <f>E60</f>
        <v>915570</v>
      </c>
    </row>
    <row r="60" spans="1:5" ht="25.5">
      <c r="A60" s="13" t="s">
        <v>212</v>
      </c>
      <c r="B60" s="183" t="s">
        <v>487</v>
      </c>
      <c r="C60" s="182">
        <v>200</v>
      </c>
      <c r="D60" s="485">
        <v>875981</v>
      </c>
      <c r="E60" s="485">
        <v>915570</v>
      </c>
    </row>
    <row r="61" spans="1:5" ht="63.75">
      <c r="A61" s="29" t="s">
        <v>122</v>
      </c>
      <c r="B61" s="186" t="s">
        <v>722</v>
      </c>
      <c r="C61" s="182"/>
      <c r="D61" s="484">
        <f>D62</f>
        <v>6119254</v>
      </c>
      <c r="E61" s="484">
        <f>E62</f>
        <v>6326257</v>
      </c>
    </row>
    <row r="62" spans="1:5" ht="38.25">
      <c r="A62" s="185" t="s">
        <v>564</v>
      </c>
      <c r="B62" s="183" t="s">
        <v>723</v>
      </c>
      <c r="C62" s="182" t="s">
        <v>85</v>
      </c>
      <c r="D62" s="484">
        <f>SUM(D63:D63)</f>
        <v>6119254</v>
      </c>
      <c r="E62" s="484">
        <f>SUM(E63:E63)</f>
        <v>6326257</v>
      </c>
    </row>
    <row r="63" spans="1:5" ht="25.5">
      <c r="A63" s="13" t="s">
        <v>79</v>
      </c>
      <c r="B63" s="183" t="s">
        <v>723</v>
      </c>
      <c r="C63" s="182">
        <v>300</v>
      </c>
      <c r="D63" s="485">
        <v>6119254</v>
      </c>
      <c r="E63" s="485">
        <v>6326257</v>
      </c>
    </row>
    <row r="64" spans="1:5" ht="51">
      <c r="A64" s="13" t="s">
        <v>561</v>
      </c>
      <c r="B64" s="200" t="s">
        <v>568</v>
      </c>
      <c r="C64" s="182"/>
      <c r="D64" s="484">
        <f>D65</f>
        <v>1004100</v>
      </c>
      <c r="E64" s="484">
        <f>E65</f>
        <v>1004100</v>
      </c>
    </row>
    <row r="65" spans="1:5" ht="51">
      <c r="A65" s="185" t="s">
        <v>266</v>
      </c>
      <c r="B65" s="183" t="s">
        <v>426</v>
      </c>
      <c r="C65" s="182"/>
      <c r="D65" s="484">
        <f>SUM(D66:D67)</f>
        <v>1004100</v>
      </c>
      <c r="E65" s="484">
        <f>SUM(E66:E67)</f>
        <v>1004100</v>
      </c>
    </row>
    <row r="66" spans="1:5" ht="63.75">
      <c r="A66" s="13" t="s">
        <v>698</v>
      </c>
      <c r="B66" s="183" t="s">
        <v>426</v>
      </c>
      <c r="C66" s="182">
        <v>100</v>
      </c>
      <c r="D66" s="485">
        <v>967900</v>
      </c>
      <c r="E66" s="485">
        <v>967900</v>
      </c>
    </row>
    <row r="67" spans="1:5" ht="25.5">
      <c r="A67" s="180" t="s">
        <v>212</v>
      </c>
      <c r="B67" s="179" t="s">
        <v>426</v>
      </c>
      <c r="C67" s="178" t="s">
        <v>72</v>
      </c>
      <c r="D67" s="489">
        <v>36200</v>
      </c>
      <c r="E67" s="489">
        <v>36200</v>
      </c>
    </row>
    <row r="68" spans="1:5" ht="38.25">
      <c r="A68" s="377" t="s">
        <v>882</v>
      </c>
      <c r="B68" s="128" t="s">
        <v>866</v>
      </c>
      <c r="C68" s="127"/>
      <c r="D68" s="485">
        <f>D69</f>
        <v>4228092</v>
      </c>
      <c r="E68" s="485">
        <f>E69</f>
        <v>2114046</v>
      </c>
    </row>
    <row r="69" spans="1:5" ht="51">
      <c r="A69" s="377" t="s">
        <v>862</v>
      </c>
      <c r="B69" s="128" t="s">
        <v>867</v>
      </c>
      <c r="C69" s="127"/>
      <c r="D69" s="485">
        <f>D70</f>
        <v>4228092</v>
      </c>
      <c r="E69" s="485">
        <f>E70</f>
        <v>2114046</v>
      </c>
    </row>
    <row r="70" spans="1:5" ht="30.75" customHeight="1">
      <c r="A70" s="377" t="s">
        <v>205</v>
      </c>
      <c r="B70" s="128" t="s">
        <v>867</v>
      </c>
      <c r="C70" s="127">
        <v>400</v>
      </c>
      <c r="D70" s="485">
        <v>4228092</v>
      </c>
      <c r="E70" s="485">
        <v>2114046</v>
      </c>
    </row>
    <row r="71" spans="1:5" ht="38.25">
      <c r="A71" s="191" t="s">
        <v>261</v>
      </c>
      <c r="B71" s="248" t="s">
        <v>530</v>
      </c>
      <c r="C71" s="159" t="s">
        <v>85</v>
      </c>
      <c r="D71" s="483">
        <f>D72+D86+D134</f>
        <v>313980194</v>
      </c>
      <c r="E71" s="483">
        <f>E72+E86+E134</f>
        <v>245781931</v>
      </c>
    </row>
    <row r="72" spans="1:5" ht="51">
      <c r="A72" s="12" t="s">
        <v>225</v>
      </c>
      <c r="B72" s="183" t="s">
        <v>293</v>
      </c>
      <c r="C72" s="182" t="s">
        <v>85</v>
      </c>
      <c r="D72" s="484">
        <f>D73+D76+D81</f>
        <v>9662223</v>
      </c>
      <c r="E72" s="484">
        <f>E73+E76+E81</f>
        <v>9084296</v>
      </c>
    </row>
    <row r="73" spans="1:5" ht="51">
      <c r="A73" s="28" t="s">
        <v>435</v>
      </c>
      <c r="B73" s="183" t="s">
        <v>294</v>
      </c>
      <c r="C73" s="182"/>
      <c r="D73" s="484">
        <f>D74</f>
        <v>236023</v>
      </c>
      <c r="E73" s="484">
        <f>E74</f>
        <v>236023</v>
      </c>
    </row>
    <row r="74" spans="1:5" ht="38.25">
      <c r="A74" s="13" t="s">
        <v>569</v>
      </c>
      <c r="B74" s="183" t="s">
        <v>295</v>
      </c>
      <c r="C74" s="182"/>
      <c r="D74" s="484">
        <f>D75</f>
        <v>236023</v>
      </c>
      <c r="E74" s="484">
        <f>E75</f>
        <v>236023</v>
      </c>
    </row>
    <row r="75" spans="1:5" ht="63.75">
      <c r="A75" s="13" t="s">
        <v>698</v>
      </c>
      <c r="B75" s="183" t="s">
        <v>295</v>
      </c>
      <c r="C75" s="182">
        <v>100</v>
      </c>
      <c r="D75" s="485">
        <v>236023</v>
      </c>
      <c r="E75" s="485">
        <v>236023</v>
      </c>
    </row>
    <row r="76" spans="1:5" ht="38.25">
      <c r="A76" s="33" t="s">
        <v>310</v>
      </c>
      <c r="B76" s="183" t="s">
        <v>297</v>
      </c>
      <c r="C76" s="182"/>
      <c r="D76" s="484">
        <f>D77</f>
        <v>8051438</v>
      </c>
      <c r="E76" s="484">
        <f>E77</f>
        <v>7557799</v>
      </c>
    </row>
    <row r="77" spans="1:5" ht="25.5">
      <c r="A77" s="185" t="s">
        <v>468</v>
      </c>
      <c r="B77" s="183" t="s">
        <v>298</v>
      </c>
      <c r="C77" s="182" t="s">
        <v>85</v>
      </c>
      <c r="D77" s="484">
        <f>SUM(D78:D80)</f>
        <v>8051438</v>
      </c>
      <c r="E77" s="484">
        <f>SUM(E78:E80)</f>
        <v>7557799</v>
      </c>
    </row>
    <row r="78" spans="1:5" ht="63.75">
      <c r="A78" s="13" t="s">
        <v>698</v>
      </c>
      <c r="B78" s="183" t="s">
        <v>298</v>
      </c>
      <c r="C78" s="182" t="s">
        <v>565</v>
      </c>
      <c r="D78" s="485">
        <v>7641344</v>
      </c>
      <c r="E78" s="485">
        <v>7172848</v>
      </c>
    </row>
    <row r="79" spans="1:5" ht="25.5">
      <c r="A79" s="13" t="s">
        <v>212</v>
      </c>
      <c r="B79" s="183" t="s">
        <v>298</v>
      </c>
      <c r="C79" s="182" t="s">
        <v>72</v>
      </c>
      <c r="D79" s="485">
        <v>404804</v>
      </c>
      <c r="E79" s="485">
        <v>379985</v>
      </c>
    </row>
    <row r="80" spans="1:5" ht="12.75">
      <c r="A80" s="13" t="s">
        <v>75</v>
      </c>
      <c r="B80" s="183" t="s">
        <v>298</v>
      </c>
      <c r="C80" s="182">
        <v>800</v>
      </c>
      <c r="D80" s="485">
        <v>5290</v>
      </c>
      <c r="E80" s="485">
        <v>4966</v>
      </c>
    </row>
    <row r="81" spans="1:5" ht="38.25">
      <c r="A81" s="185" t="s">
        <v>604</v>
      </c>
      <c r="B81" s="183" t="s">
        <v>606</v>
      </c>
      <c r="C81" s="182"/>
      <c r="D81" s="484">
        <f>D82</f>
        <v>1374762</v>
      </c>
      <c r="E81" s="484">
        <f>E82</f>
        <v>1290474</v>
      </c>
    </row>
    <row r="82" spans="1:5" ht="25.5">
      <c r="A82" s="185" t="s">
        <v>694</v>
      </c>
      <c r="B82" s="183" t="s">
        <v>607</v>
      </c>
      <c r="C82" s="182"/>
      <c r="D82" s="484">
        <f>SUM(D83:D85)</f>
        <v>1374762</v>
      </c>
      <c r="E82" s="484">
        <f>SUM(E83:E85)</f>
        <v>1290474</v>
      </c>
    </row>
    <row r="83" spans="1:5" ht="63.75">
      <c r="A83" s="13" t="s">
        <v>698</v>
      </c>
      <c r="B83" s="183" t="s">
        <v>607</v>
      </c>
      <c r="C83" s="182" t="s">
        <v>565</v>
      </c>
      <c r="D83" s="485">
        <v>1290762</v>
      </c>
      <c r="E83" s="485">
        <v>1211624</v>
      </c>
    </row>
    <row r="84" spans="1:5" ht="25.5">
      <c r="A84" s="13" t="s">
        <v>212</v>
      </c>
      <c r="B84" s="183" t="s">
        <v>607</v>
      </c>
      <c r="C84" s="182" t="s">
        <v>72</v>
      </c>
      <c r="D84" s="485">
        <v>84000</v>
      </c>
      <c r="E84" s="485">
        <v>78850</v>
      </c>
    </row>
    <row r="85" spans="1:5" ht="12.75" hidden="1">
      <c r="A85" s="13" t="s">
        <v>75</v>
      </c>
      <c r="B85" s="183" t="s">
        <v>607</v>
      </c>
      <c r="C85" s="182">
        <v>800</v>
      </c>
      <c r="D85" s="485"/>
      <c r="E85" s="485"/>
    </row>
    <row r="86" spans="1:5" ht="51">
      <c r="A86" s="12" t="s">
        <v>262</v>
      </c>
      <c r="B86" s="186" t="s">
        <v>531</v>
      </c>
      <c r="C86" s="182" t="s">
        <v>85</v>
      </c>
      <c r="D86" s="484">
        <f>D87+D95+D99+D106+D126+D129+D119</f>
        <v>287862771</v>
      </c>
      <c r="E86" s="484">
        <f>E87+E95+E99+E106+E126+E129+E119</f>
        <v>220013828</v>
      </c>
    </row>
    <row r="87" spans="1:5" ht="25.5">
      <c r="A87" s="28" t="s">
        <v>430</v>
      </c>
      <c r="B87" s="183" t="s">
        <v>532</v>
      </c>
      <c r="C87" s="182"/>
      <c r="D87" s="484">
        <f>D88+D91</f>
        <v>92601566</v>
      </c>
      <c r="E87" s="484">
        <f>E88+E91</f>
        <v>90778726</v>
      </c>
    </row>
    <row r="88" spans="1:5" ht="107.25" customHeight="1">
      <c r="A88" s="13" t="s">
        <v>282</v>
      </c>
      <c r="B88" s="183" t="s">
        <v>283</v>
      </c>
      <c r="C88" s="182" t="s">
        <v>85</v>
      </c>
      <c r="D88" s="484">
        <f>SUM(D89:D90)</f>
        <v>55488082</v>
      </c>
      <c r="E88" s="484">
        <f>SUM(E89:E90)</f>
        <v>55488082</v>
      </c>
    </row>
    <row r="89" spans="1:5" ht="63.75">
      <c r="A89" s="13" t="s">
        <v>698</v>
      </c>
      <c r="B89" s="183" t="s">
        <v>283</v>
      </c>
      <c r="C89" s="182" t="s">
        <v>565</v>
      </c>
      <c r="D89" s="485">
        <v>55063202</v>
      </c>
      <c r="E89" s="485">
        <v>55063202</v>
      </c>
    </row>
    <row r="90" spans="1:5" ht="25.5">
      <c r="A90" s="13" t="s">
        <v>212</v>
      </c>
      <c r="B90" s="183" t="s">
        <v>283</v>
      </c>
      <c r="C90" s="182" t="s">
        <v>72</v>
      </c>
      <c r="D90" s="485">
        <v>424880</v>
      </c>
      <c r="E90" s="485">
        <v>424880</v>
      </c>
    </row>
    <row r="91" spans="1:5" ht="25.5">
      <c r="A91" s="185" t="s">
        <v>468</v>
      </c>
      <c r="B91" s="183" t="s">
        <v>284</v>
      </c>
      <c r="C91" s="182"/>
      <c r="D91" s="484">
        <f>SUM(D92:D94)</f>
        <v>37113484</v>
      </c>
      <c r="E91" s="484">
        <f>SUM(E92:E94)</f>
        <v>35290644</v>
      </c>
    </row>
    <row r="92" spans="1:5" ht="63.75">
      <c r="A92" s="13" t="s">
        <v>698</v>
      </c>
      <c r="B92" s="183" t="s">
        <v>284</v>
      </c>
      <c r="C92" s="182">
        <v>100</v>
      </c>
      <c r="D92" s="485">
        <v>18466929</v>
      </c>
      <c r="E92" s="485">
        <v>17334708</v>
      </c>
    </row>
    <row r="93" spans="1:5" ht="25.5">
      <c r="A93" s="13" t="s">
        <v>212</v>
      </c>
      <c r="B93" s="183" t="s">
        <v>284</v>
      </c>
      <c r="C93" s="182">
        <v>200</v>
      </c>
      <c r="D93" s="485">
        <v>16366724</v>
      </c>
      <c r="E93" s="485">
        <v>15815883</v>
      </c>
    </row>
    <row r="94" spans="1:5" ht="12.75">
      <c r="A94" s="13" t="s">
        <v>75</v>
      </c>
      <c r="B94" s="183" t="s">
        <v>284</v>
      </c>
      <c r="C94" s="182">
        <v>800</v>
      </c>
      <c r="D94" s="485">
        <v>2279831</v>
      </c>
      <c r="E94" s="485">
        <v>2140053</v>
      </c>
    </row>
    <row r="95" spans="1:5" ht="25.5">
      <c r="A95" s="28" t="s">
        <v>233</v>
      </c>
      <c r="B95" s="183" t="s">
        <v>128</v>
      </c>
      <c r="C95" s="182"/>
      <c r="D95" s="484">
        <f>D96</f>
        <v>5116098</v>
      </c>
      <c r="E95" s="484">
        <f>E96</f>
        <v>5116098</v>
      </c>
    </row>
    <row r="96" spans="1:5" ht="12.75">
      <c r="A96" s="13" t="s">
        <v>307</v>
      </c>
      <c r="B96" s="183" t="s">
        <v>227</v>
      </c>
      <c r="C96" s="182"/>
      <c r="D96" s="484">
        <f>SUM(D97:D98)</f>
        <v>5116098</v>
      </c>
      <c r="E96" s="484">
        <f>SUM(E97:E98)</f>
        <v>5116098</v>
      </c>
    </row>
    <row r="97" spans="1:5" ht="25.5">
      <c r="A97" s="13" t="s">
        <v>212</v>
      </c>
      <c r="B97" s="183" t="s">
        <v>227</v>
      </c>
      <c r="C97" s="182">
        <v>200</v>
      </c>
      <c r="D97" s="485">
        <v>20382</v>
      </c>
      <c r="E97" s="485">
        <v>20382</v>
      </c>
    </row>
    <row r="98" spans="1:5" ht="25.5">
      <c r="A98" s="13" t="s">
        <v>79</v>
      </c>
      <c r="B98" s="183" t="s">
        <v>227</v>
      </c>
      <c r="C98" s="182">
        <v>300</v>
      </c>
      <c r="D98" s="485">
        <v>5095716</v>
      </c>
      <c r="E98" s="485">
        <v>5095716</v>
      </c>
    </row>
    <row r="99" spans="1:5" ht="25.5">
      <c r="A99" s="28" t="s">
        <v>432</v>
      </c>
      <c r="B99" s="183" t="s">
        <v>285</v>
      </c>
      <c r="C99" s="182"/>
      <c r="D99" s="484">
        <f>D100+D102+D104</f>
        <v>115240939</v>
      </c>
      <c r="E99" s="484">
        <f>E100+E102+E104</f>
        <v>114416531</v>
      </c>
    </row>
    <row r="100" spans="1:5" ht="114.75">
      <c r="A100" s="13" t="s">
        <v>648</v>
      </c>
      <c r="B100" s="183" t="s">
        <v>286</v>
      </c>
      <c r="C100" s="182" t="s">
        <v>85</v>
      </c>
      <c r="D100" s="484">
        <f>D101</f>
        <v>96274514</v>
      </c>
      <c r="E100" s="484">
        <f>E101</f>
        <v>96274514</v>
      </c>
    </row>
    <row r="101" spans="1:5" ht="38.25">
      <c r="A101" s="13" t="s">
        <v>88</v>
      </c>
      <c r="B101" s="183" t="s">
        <v>286</v>
      </c>
      <c r="C101" s="182">
        <v>600</v>
      </c>
      <c r="D101" s="485">
        <v>96274514</v>
      </c>
      <c r="E101" s="485">
        <v>96274514</v>
      </c>
    </row>
    <row r="102" spans="1:5" ht="25.5">
      <c r="A102" s="185" t="s">
        <v>468</v>
      </c>
      <c r="B102" s="183" t="s">
        <v>287</v>
      </c>
      <c r="C102" s="182"/>
      <c r="D102" s="484">
        <f>D103</f>
        <v>12467788</v>
      </c>
      <c r="E102" s="484">
        <f>E103</f>
        <v>11703379</v>
      </c>
    </row>
    <row r="103" spans="1:5" ht="38.25">
      <c r="A103" s="13" t="s">
        <v>88</v>
      </c>
      <c r="B103" s="183" t="s">
        <v>287</v>
      </c>
      <c r="C103" s="182">
        <v>600</v>
      </c>
      <c r="D103" s="485">
        <v>12467788</v>
      </c>
      <c r="E103" s="485">
        <v>11703379</v>
      </c>
    </row>
    <row r="104" spans="1:5" ht="51">
      <c r="A104" s="13" t="s">
        <v>483</v>
      </c>
      <c r="B104" s="211" t="s">
        <v>906</v>
      </c>
      <c r="C104" s="182"/>
      <c r="D104" s="485">
        <f>D105</f>
        <v>6498637</v>
      </c>
      <c r="E104" s="485">
        <f>E105</f>
        <v>6438638</v>
      </c>
    </row>
    <row r="105" spans="1:5" ht="38.25">
      <c r="A105" s="13" t="s">
        <v>88</v>
      </c>
      <c r="B105" s="211" t="s">
        <v>906</v>
      </c>
      <c r="C105" s="182">
        <v>600</v>
      </c>
      <c r="D105" s="485">
        <v>6498637</v>
      </c>
      <c r="E105" s="485">
        <v>6438638</v>
      </c>
    </row>
    <row r="106" spans="1:5" ht="25.5">
      <c r="A106" s="28" t="s">
        <v>433</v>
      </c>
      <c r="B106" s="186" t="s">
        <v>288</v>
      </c>
      <c r="C106" s="182"/>
      <c r="D106" s="484">
        <f>D107+D109+D111+D115+D117+D113</f>
        <v>8988504</v>
      </c>
      <c r="E106" s="484">
        <f>E107+E109+E111+E115+E117+E113</f>
        <v>9702473</v>
      </c>
    </row>
    <row r="107" spans="1:5" ht="51">
      <c r="A107" s="26" t="s">
        <v>371</v>
      </c>
      <c r="B107" s="183" t="s">
        <v>372</v>
      </c>
      <c r="C107" s="182"/>
      <c r="D107" s="484">
        <f>D108</f>
        <v>6138789</v>
      </c>
      <c r="E107" s="484">
        <f>E108</f>
        <v>6324077</v>
      </c>
    </row>
    <row r="108" spans="1:5" ht="38.25">
      <c r="A108" s="13" t="s">
        <v>88</v>
      </c>
      <c r="B108" s="183" t="s">
        <v>372</v>
      </c>
      <c r="C108" s="182">
        <v>600</v>
      </c>
      <c r="D108" s="484">
        <f>6093224+45565</f>
        <v>6138789</v>
      </c>
      <c r="E108" s="484">
        <f>6274579+49498</f>
        <v>6324077</v>
      </c>
    </row>
    <row r="109" spans="1:5" ht="76.5">
      <c r="A109" s="48" t="s">
        <v>709</v>
      </c>
      <c r="B109" s="211" t="s">
        <v>710</v>
      </c>
      <c r="C109" s="182"/>
      <c r="D109" s="484">
        <f>D110</f>
        <v>318065</v>
      </c>
      <c r="E109" s="484">
        <f>E110</f>
        <v>318065</v>
      </c>
    </row>
    <row r="110" spans="1:5" ht="38.25">
      <c r="A110" s="212" t="s">
        <v>88</v>
      </c>
      <c r="B110" s="211" t="s">
        <v>710</v>
      </c>
      <c r="C110" s="182">
        <v>600</v>
      </c>
      <c r="D110" s="484">
        <v>318065</v>
      </c>
      <c r="E110" s="484">
        <v>318065</v>
      </c>
    </row>
    <row r="111" spans="1:5" ht="76.5">
      <c r="A111" s="25" t="s">
        <v>279</v>
      </c>
      <c r="B111" s="211" t="s">
        <v>289</v>
      </c>
      <c r="C111" s="216"/>
      <c r="D111" s="484">
        <f>D112</f>
        <v>2127215</v>
      </c>
      <c r="E111" s="484">
        <f>E112</f>
        <v>2127215</v>
      </c>
    </row>
    <row r="112" spans="1:5" ht="38.25">
      <c r="A112" s="212" t="s">
        <v>88</v>
      </c>
      <c r="B112" s="211" t="s">
        <v>289</v>
      </c>
      <c r="C112" s="216">
        <v>600</v>
      </c>
      <c r="D112" s="485">
        <v>2127215</v>
      </c>
      <c r="E112" s="485">
        <v>2127215</v>
      </c>
    </row>
    <row r="113" spans="1:5" ht="25.5">
      <c r="A113" s="129" t="s">
        <v>468</v>
      </c>
      <c r="B113" s="128" t="s">
        <v>370</v>
      </c>
      <c r="C113" s="127"/>
      <c r="D113" s="485">
        <f>D114</f>
        <v>384435</v>
      </c>
      <c r="E113" s="485">
        <f>E114</f>
        <v>914342</v>
      </c>
    </row>
    <row r="114" spans="1:5" ht="38.25">
      <c r="A114" s="139" t="s">
        <v>88</v>
      </c>
      <c r="B114" s="128" t="s">
        <v>370</v>
      </c>
      <c r="C114" s="127">
        <v>600</v>
      </c>
      <c r="D114" s="485">
        <f>430000-45565</f>
        <v>384435</v>
      </c>
      <c r="E114" s="485">
        <f>963840-49498</f>
        <v>914342</v>
      </c>
    </row>
    <row r="115" spans="1:5" ht="24">
      <c r="A115" s="23" t="s">
        <v>198</v>
      </c>
      <c r="B115" s="183" t="s">
        <v>257</v>
      </c>
      <c r="C115" s="182"/>
      <c r="D115" s="484">
        <f>D116</f>
        <v>20000</v>
      </c>
      <c r="E115" s="484">
        <f>E116</f>
        <v>18774</v>
      </c>
    </row>
    <row r="116" spans="1:5" ht="38.25">
      <c r="A116" s="13" t="s">
        <v>88</v>
      </c>
      <c r="B116" s="183" t="s">
        <v>257</v>
      </c>
      <c r="C116" s="182">
        <v>300</v>
      </c>
      <c r="D116" s="485">
        <v>20000</v>
      </c>
      <c r="E116" s="485">
        <v>18774</v>
      </c>
    </row>
    <row r="117" spans="1:5" ht="12.75" hidden="1">
      <c r="A117" s="13"/>
      <c r="B117" s="211"/>
      <c r="C117" s="182"/>
      <c r="D117" s="485">
        <f>D118</f>
        <v>0</v>
      </c>
      <c r="E117" s="485">
        <f>E118</f>
        <v>0</v>
      </c>
    </row>
    <row r="118" spans="1:5" ht="12.75" hidden="1">
      <c r="A118" s="13"/>
      <c r="B118" s="211"/>
      <c r="C118" s="182"/>
      <c r="D118" s="485"/>
      <c r="E118" s="485"/>
    </row>
    <row r="119" spans="1:5" ht="102">
      <c r="A119" s="28" t="s">
        <v>910</v>
      </c>
      <c r="B119" s="128" t="s">
        <v>912</v>
      </c>
      <c r="C119" s="127"/>
      <c r="D119" s="487">
        <f>D120+D124+D122</f>
        <v>65915664</v>
      </c>
      <c r="E119" s="487">
        <f>E120+E124+E122</f>
        <v>0</v>
      </c>
    </row>
    <row r="120" spans="1:5" ht="63.75">
      <c r="A120" s="377" t="s">
        <v>980</v>
      </c>
      <c r="B120" s="128" t="s">
        <v>982</v>
      </c>
      <c r="C120" s="127"/>
      <c r="D120" s="487">
        <f>D121</f>
        <v>63766132</v>
      </c>
      <c r="E120" s="487">
        <f>E121</f>
        <v>0</v>
      </c>
    </row>
    <row r="121" spans="1:5" ht="38.25">
      <c r="A121" s="139" t="s">
        <v>88</v>
      </c>
      <c r="B121" s="128" t="s">
        <v>982</v>
      </c>
      <c r="C121" s="127" t="s">
        <v>77</v>
      </c>
      <c r="D121" s="487">
        <f>1275323+62490809</f>
        <v>63766132</v>
      </c>
      <c r="E121" s="487"/>
    </row>
    <row r="122" spans="1:5" ht="38.25">
      <c r="A122" s="139" t="s">
        <v>918</v>
      </c>
      <c r="B122" s="128" t="s">
        <v>919</v>
      </c>
      <c r="C122" s="127"/>
      <c r="D122" s="487">
        <f>D123</f>
        <v>2106541</v>
      </c>
      <c r="E122" s="487">
        <f>E123</f>
        <v>0</v>
      </c>
    </row>
    <row r="123" spans="1:5" ht="38.25">
      <c r="A123" s="139" t="s">
        <v>88</v>
      </c>
      <c r="B123" s="128" t="s">
        <v>919</v>
      </c>
      <c r="C123" s="127">
        <v>600</v>
      </c>
      <c r="D123" s="487">
        <v>2106541</v>
      </c>
      <c r="E123" s="487"/>
    </row>
    <row r="124" spans="1:5" ht="38.25">
      <c r="A124" s="397" t="s">
        <v>911</v>
      </c>
      <c r="B124" s="128" t="s">
        <v>913</v>
      </c>
      <c r="C124" s="127"/>
      <c r="D124" s="487">
        <f>D125</f>
        <v>42991</v>
      </c>
      <c r="E124" s="487">
        <f>E125</f>
        <v>0</v>
      </c>
    </row>
    <row r="125" spans="1:5" ht="38.25">
      <c r="A125" s="139" t="s">
        <v>88</v>
      </c>
      <c r="B125" s="128" t="s">
        <v>913</v>
      </c>
      <c r="C125" s="127" t="s">
        <v>77</v>
      </c>
      <c r="D125" s="487">
        <v>42991</v>
      </c>
      <c r="E125" s="487"/>
    </row>
    <row r="126" spans="1:5" ht="12.75" hidden="1">
      <c r="A126" s="217" t="s">
        <v>713</v>
      </c>
      <c r="B126" s="183" t="s">
        <v>315</v>
      </c>
      <c r="C126" s="216"/>
      <c r="D126" s="484">
        <f>D128</f>
        <v>0</v>
      </c>
      <c r="E126" s="484">
        <f>E128</f>
        <v>0</v>
      </c>
    </row>
    <row r="127" spans="1:5" ht="76.5" hidden="1">
      <c r="A127" s="297" t="s">
        <v>149</v>
      </c>
      <c r="B127" s="183" t="s">
        <v>316</v>
      </c>
      <c r="C127" s="216"/>
      <c r="D127" s="484">
        <f>D128</f>
        <v>0</v>
      </c>
      <c r="E127" s="484">
        <f>E128</f>
        <v>0</v>
      </c>
    </row>
    <row r="128" spans="1:5" ht="38.25" hidden="1">
      <c r="A128" s="212" t="s">
        <v>88</v>
      </c>
      <c r="B128" s="183" t="s">
        <v>316</v>
      </c>
      <c r="C128" s="216">
        <v>600</v>
      </c>
      <c r="D128" s="485"/>
      <c r="E128" s="485"/>
    </row>
    <row r="129" spans="1:5" ht="25.5" hidden="1">
      <c r="A129" s="217" t="s">
        <v>105</v>
      </c>
      <c r="B129" s="183" t="s">
        <v>60</v>
      </c>
      <c r="C129" s="216"/>
      <c r="D129" s="484">
        <f>D130+D132</f>
        <v>0</v>
      </c>
      <c r="E129" s="484">
        <f>E130</f>
        <v>0</v>
      </c>
    </row>
    <row r="130" spans="1:5" ht="38.25" hidden="1">
      <c r="A130" s="297" t="s">
        <v>150</v>
      </c>
      <c r="B130" s="183" t="s">
        <v>61</v>
      </c>
      <c r="C130" s="216"/>
      <c r="D130" s="484">
        <f>D131</f>
        <v>0</v>
      </c>
      <c r="E130" s="484">
        <f>E131</f>
        <v>0</v>
      </c>
    </row>
    <row r="131" spans="1:5" ht="41.25" customHeight="1" hidden="1">
      <c r="A131" s="212" t="s">
        <v>88</v>
      </c>
      <c r="B131" s="183" t="s">
        <v>61</v>
      </c>
      <c r="C131" s="216">
        <v>600</v>
      </c>
      <c r="D131" s="485"/>
      <c r="E131" s="485"/>
    </row>
    <row r="132" spans="1:5" ht="41.25" customHeight="1" hidden="1">
      <c r="A132" s="217" t="s">
        <v>59</v>
      </c>
      <c r="B132" s="183" t="s">
        <v>338</v>
      </c>
      <c r="C132" s="216"/>
      <c r="D132" s="485">
        <f>D133</f>
        <v>0</v>
      </c>
      <c r="E132" s="485"/>
    </row>
    <row r="133" spans="1:5" ht="41.25" customHeight="1" hidden="1">
      <c r="A133" s="212" t="s">
        <v>88</v>
      </c>
      <c r="B133" s="183" t="s">
        <v>338</v>
      </c>
      <c r="C133" s="216">
        <v>600</v>
      </c>
      <c r="D133" s="485"/>
      <c r="E133" s="485"/>
    </row>
    <row r="134" spans="1:5" ht="51">
      <c r="A134" s="12" t="s">
        <v>5</v>
      </c>
      <c r="B134" s="186" t="s">
        <v>290</v>
      </c>
      <c r="C134" s="182" t="s">
        <v>85</v>
      </c>
      <c r="D134" s="484">
        <f aca="true" t="shared" si="0" ref="D134:E136">D135</f>
        <v>16455200</v>
      </c>
      <c r="E134" s="484">
        <f t="shared" si="0"/>
        <v>16683807</v>
      </c>
    </row>
    <row r="135" spans="1:5" ht="38.25">
      <c r="A135" s="28" t="s">
        <v>434</v>
      </c>
      <c r="B135" s="183" t="s">
        <v>291</v>
      </c>
      <c r="C135" s="182"/>
      <c r="D135" s="484">
        <f t="shared" si="0"/>
        <v>16455200</v>
      </c>
      <c r="E135" s="484">
        <f t="shared" si="0"/>
        <v>16683807</v>
      </c>
    </row>
    <row r="136" spans="1:5" ht="25.5">
      <c r="A136" s="185" t="s">
        <v>468</v>
      </c>
      <c r="B136" s="183" t="s">
        <v>292</v>
      </c>
      <c r="C136" s="182" t="s">
        <v>85</v>
      </c>
      <c r="D136" s="484">
        <f t="shared" si="0"/>
        <v>16455200</v>
      </c>
      <c r="E136" s="484">
        <f t="shared" si="0"/>
        <v>16683807</v>
      </c>
    </row>
    <row r="137" spans="1:5" ht="38.25">
      <c r="A137" s="259" t="s">
        <v>88</v>
      </c>
      <c r="B137" s="179" t="s">
        <v>292</v>
      </c>
      <c r="C137" s="178">
        <v>600</v>
      </c>
      <c r="D137" s="489">
        <f>17773514-1318314</f>
        <v>16455200</v>
      </c>
      <c r="E137" s="489">
        <v>16683807</v>
      </c>
    </row>
    <row r="138" spans="1:5" ht="63.75">
      <c r="A138" s="146" t="s">
        <v>674</v>
      </c>
      <c r="B138" s="248" t="s">
        <v>8</v>
      </c>
      <c r="C138" s="159" t="s">
        <v>85</v>
      </c>
      <c r="D138" s="483">
        <f aca="true" t="shared" si="1" ref="D138:E140">D139</f>
        <v>662105</v>
      </c>
      <c r="E138" s="483">
        <f t="shared" si="1"/>
        <v>903118</v>
      </c>
    </row>
    <row r="139" spans="1:5" ht="89.25">
      <c r="A139" s="201" t="s">
        <v>675</v>
      </c>
      <c r="B139" s="183" t="s">
        <v>9</v>
      </c>
      <c r="C139" s="196" t="s">
        <v>85</v>
      </c>
      <c r="D139" s="484">
        <f t="shared" si="1"/>
        <v>662105</v>
      </c>
      <c r="E139" s="484">
        <f t="shared" si="1"/>
        <v>903118</v>
      </c>
    </row>
    <row r="140" spans="1:5" ht="51">
      <c r="A140" s="29" t="s">
        <v>35</v>
      </c>
      <c r="B140" s="183" t="s">
        <v>10</v>
      </c>
      <c r="C140" s="196"/>
      <c r="D140" s="484">
        <f t="shared" si="1"/>
        <v>662105</v>
      </c>
      <c r="E140" s="484">
        <f t="shared" si="1"/>
        <v>903118</v>
      </c>
    </row>
    <row r="141" spans="1:5" ht="25.5">
      <c r="A141" s="185" t="s">
        <v>267</v>
      </c>
      <c r="B141" s="183" t="s">
        <v>11</v>
      </c>
      <c r="C141" s="196" t="s">
        <v>85</v>
      </c>
      <c r="D141" s="484">
        <f>SUM(D142:D143)</f>
        <v>662105</v>
      </c>
      <c r="E141" s="484">
        <f>SUM(E142:E143)</f>
        <v>903118</v>
      </c>
    </row>
    <row r="142" spans="1:5" ht="25.5">
      <c r="A142" s="13" t="s">
        <v>212</v>
      </c>
      <c r="B142" s="183" t="s">
        <v>11</v>
      </c>
      <c r="C142" s="182" t="s">
        <v>72</v>
      </c>
      <c r="D142" s="485">
        <v>203125</v>
      </c>
      <c r="E142" s="485">
        <v>472278</v>
      </c>
    </row>
    <row r="143" spans="1:5" ht="12.75">
      <c r="A143" s="180" t="s">
        <v>75</v>
      </c>
      <c r="B143" s="179" t="s">
        <v>11</v>
      </c>
      <c r="C143" s="178">
        <v>800</v>
      </c>
      <c r="D143" s="489">
        <v>458980</v>
      </c>
      <c r="E143" s="489">
        <v>430840</v>
      </c>
    </row>
    <row r="144" spans="1:5" ht="63.75">
      <c r="A144" s="191" t="s">
        <v>453</v>
      </c>
      <c r="B144" s="248" t="s">
        <v>32</v>
      </c>
      <c r="C144" s="159"/>
      <c r="D144" s="483">
        <f>D145+D153</f>
        <v>6249232.2</v>
      </c>
      <c r="E144" s="483">
        <f>E145+E153</f>
        <v>3989979.84</v>
      </c>
    </row>
    <row r="145" spans="1:5" ht="102" hidden="1">
      <c r="A145" s="12" t="s">
        <v>199</v>
      </c>
      <c r="B145" s="183" t="s">
        <v>200</v>
      </c>
      <c r="C145" s="219"/>
      <c r="D145" s="484">
        <f>D146</f>
        <v>0</v>
      </c>
      <c r="E145" s="484">
        <f>E146</f>
        <v>0</v>
      </c>
    </row>
    <row r="146" spans="1:5" ht="38.25" hidden="1">
      <c r="A146" s="217" t="s">
        <v>712</v>
      </c>
      <c r="B146" s="183" t="s">
        <v>62</v>
      </c>
      <c r="C146" s="219"/>
      <c r="D146" s="484">
        <f>D147+D149+D151</f>
        <v>0</v>
      </c>
      <c r="E146" s="484">
        <f>E151</f>
        <v>0</v>
      </c>
    </row>
    <row r="147" spans="1:5" ht="38.25" hidden="1">
      <c r="A147" s="217" t="s">
        <v>90</v>
      </c>
      <c r="B147" s="183" t="s">
        <v>668</v>
      </c>
      <c r="C147" s="219"/>
      <c r="D147" s="484">
        <f>D148</f>
        <v>0</v>
      </c>
      <c r="E147" s="484"/>
    </row>
    <row r="148" spans="1:5" ht="25.5" hidden="1">
      <c r="A148" s="212" t="s">
        <v>205</v>
      </c>
      <c r="B148" s="183" t="s">
        <v>668</v>
      </c>
      <c r="C148" s="182">
        <v>400</v>
      </c>
      <c r="D148" s="484"/>
      <c r="E148" s="484"/>
    </row>
    <row r="149" spans="1:5" ht="38.25" hidden="1">
      <c r="A149" s="217" t="s">
        <v>91</v>
      </c>
      <c r="B149" s="183" t="s">
        <v>669</v>
      </c>
      <c r="C149" s="219"/>
      <c r="D149" s="484">
        <f>D150</f>
        <v>0</v>
      </c>
      <c r="E149" s="484"/>
    </row>
    <row r="150" spans="1:5" ht="25.5" hidden="1">
      <c r="A150" s="212" t="s">
        <v>205</v>
      </c>
      <c r="B150" s="183" t="s">
        <v>669</v>
      </c>
      <c r="C150" s="182">
        <v>400</v>
      </c>
      <c r="D150" s="484"/>
      <c r="E150" s="484"/>
    </row>
    <row r="151" spans="1:5" ht="76.5" hidden="1">
      <c r="A151" s="48" t="s">
        <v>65</v>
      </c>
      <c r="B151" s="183" t="s">
        <v>276</v>
      </c>
      <c r="C151" s="219"/>
      <c r="D151" s="484">
        <f>D152</f>
        <v>0</v>
      </c>
      <c r="E151" s="484">
        <f>E152</f>
        <v>0</v>
      </c>
    </row>
    <row r="152" spans="1:5" ht="25.5" hidden="1">
      <c r="A152" s="212" t="s">
        <v>205</v>
      </c>
      <c r="B152" s="183" t="s">
        <v>276</v>
      </c>
      <c r="C152" s="182">
        <v>400</v>
      </c>
      <c r="D152" s="485"/>
      <c r="E152" s="485"/>
    </row>
    <row r="153" spans="1:5" ht="89.25">
      <c r="A153" s="12" t="s">
        <v>454</v>
      </c>
      <c r="B153" s="186" t="s">
        <v>529</v>
      </c>
      <c r="C153" s="219"/>
      <c r="D153" s="484">
        <f>D154+D157</f>
        <v>6249232.2</v>
      </c>
      <c r="E153" s="484">
        <f>E154+E157</f>
        <v>3989979.84</v>
      </c>
    </row>
    <row r="154" spans="1:5" ht="38.25">
      <c r="A154" s="28" t="s">
        <v>218</v>
      </c>
      <c r="B154" s="183" t="s">
        <v>251</v>
      </c>
      <c r="C154" s="219"/>
      <c r="D154" s="484">
        <f>D155</f>
        <v>684000</v>
      </c>
      <c r="E154" s="484">
        <f>E155</f>
        <v>288308</v>
      </c>
    </row>
    <row r="155" spans="1:5" ht="24">
      <c r="A155" s="30" t="s">
        <v>250</v>
      </c>
      <c r="B155" s="183" t="s">
        <v>249</v>
      </c>
      <c r="C155" s="219"/>
      <c r="D155" s="484">
        <f>SUM(D156:D156)</f>
        <v>684000</v>
      </c>
      <c r="E155" s="484">
        <f>SUM(E156:E156)</f>
        <v>288308</v>
      </c>
    </row>
    <row r="156" spans="1:5" ht="25.5">
      <c r="A156" s="13" t="s">
        <v>212</v>
      </c>
      <c r="B156" s="183" t="s">
        <v>249</v>
      </c>
      <c r="C156" s="182">
        <v>200</v>
      </c>
      <c r="D156" s="485">
        <v>684000</v>
      </c>
      <c r="E156" s="485">
        <f>642063-353755</f>
        <v>288308</v>
      </c>
    </row>
    <row r="157" spans="1:5" ht="38.25">
      <c r="A157" s="28" t="s">
        <v>337</v>
      </c>
      <c r="B157" s="183" t="s">
        <v>428</v>
      </c>
      <c r="C157" s="182"/>
      <c r="D157" s="484">
        <f>D158</f>
        <v>5565232.2</v>
      </c>
      <c r="E157" s="484">
        <f>E158</f>
        <v>3701671.84</v>
      </c>
    </row>
    <row r="158" spans="1:5" ht="12.75">
      <c r="A158" s="33" t="s">
        <v>695</v>
      </c>
      <c r="B158" s="183" t="s">
        <v>429</v>
      </c>
      <c r="C158" s="182" t="s">
        <v>85</v>
      </c>
      <c r="D158" s="484">
        <f>SUM(D159:D160)</f>
        <v>5565232.2</v>
      </c>
      <c r="E158" s="484">
        <f>SUM(E159:E160)</f>
        <v>3701671.84</v>
      </c>
    </row>
    <row r="159" spans="1:5" ht="25.5">
      <c r="A159" s="13" t="s">
        <v>212</v>
      </c>
      <c r="B159" s="183" t="s">
        <v>429</v>
      </c>
      <c r="C159" s="182">
        <v>200</v>
      </c>
      <c r="D159" s="485">
        <v>2467763</v>
      </c>
      <c r="E159" s="485">
        <v>2316462</v>
      </c>
    </row>
    <row r="160" spans="1:5" ht="12.75">
      <c r="A160" s="180" t="s">
        <v>75</v>
      </c>
      <c r="B160" s="179" t="s">
        <v>429</v>
      </c>
      <c r="C160" s="178">
        <v>800</v>
      </c>
      <c r="D160" s="489">
        <f>4632046-1534576.8</f>
        <v>3097469.2</v>
      </c>
      <c r="E160" s="489">
        <v>1385209.84</v>
      </c>
    </row>
    <row r="161" spans="1:5" ht="63.75">
      <c r="A161" s="191" t="s">
        <v>413</v>
      </c>
      <c r="B161" s="248" t="s">
        <v>412</v>
      </c>
      <c r="C161" s="159" t="s">
        <v>85</v>
      </c>
      <c r="D161" s="483">
        <f>D162+D173</f>
        <v>1661036</v>
      </c>
      <c r="E161" s="483">
        <f>E162+E173</f>
        <v>1654476</v>
      </c>
    </row>
    <row r="162" spans="1:5" ht="89.25">
      <c r="A162" s="12" t="s">
        <v>336</v>
      </c>
      <c r="B162" s="186" t="s">
        <v>462</v>
      </c>
      <c r="C162" s="182" t="s">
        <v>85</v>
      </c>
      <c r="D162" s="484">
        <f>D163+D170</f>
        <v>1611036</v>
      </c>
      <c r="E162" s="484">
        <f>E163+E170</f>
        <v>1607541</v>
      </c>
    </row>
    <row r="163" spans="1:5" ht="25.5">
      <c r="A163" s="33" t="s">
        <v>461</v>
      </c>
      <c r="B163" s="183" t="s">
        <v>460</v>
      </c>
      <c r="C163" s="182"/>
      <c r="D163" s="484">
        <f>D164+D167</f>
        <v>1561036</v>
      </c>
      <c r="E163" s="484">
        <f>E164+E167</f>
        <v>1560607</v>
      </c>
    </row>
    <row r="164" spans="1:5" ht="12.75">
      <c r="A164" s="33" t="s">
        <v>459</v>
      </c>
      <c r="B164" s="183" t="s">
        <v>458</v>
      </c>
      <c r="C164" s="182"/>
      <c r="D164" s="484">
        <f>D165+D166</f>
        <v>7000</v>
      </c>
      <c r="E164" s="484">
        <f>E165+E166</f>
        <v>6571</v>
      </c>
    </row>
    <row r="165" spans="1:5" ht="25.5" hidden="1">
      <c r="A165" s="13" t="s">
        <v>212</v>
      </c>
      <c r="B165" s="183" t="s">
        <v>458</v>
      </c>
      <c r="C165" s="182">
        <v>200</v>
      </c>
      <c r="D165" s="484"/>
      <c r="E165" s="484"/>
    </row>
    <row r="166" spans="1:5" ht="38.25">
      <c r="A166" s="13" t="s">
        <v>88</v>
      </c>
      <c r="B166" s="183" t="s">
        <v>458</v>
      </c>
      <c r="C166" s="182">
        <v>600</v>
      </c>
      <c r="D166" s="485">
        <v>7000</v>
      </c>
      <c r="E166" s="485">
        <v>6571</v>
      </c>
    </row>
    <row r="167" spans="1:5" ht="25.5">
      <c r="A167" s="25" t="s">
        <v>469</v>
      </c>
      <c r="B167" s="183" t="s">
        <v>265</v>
      </c>
      <c r="C167" s="185"/>
      <c r="D167" s="484">
        <f>D168+D169</f>
        <v>1554036</v>
      </c>
      <c r="E167" s="484">
        <f>E168+E169</f>
        <v>1554036</v>
      </c>
    </row>
    <row r="168" spans="1:5" ht="25.5">
      <c r="A168" s="13" t="s">
        <v>79</v>
      </c>
      <c r="B168" s="183" t="s">
        <v>265</v>
      </c>
      <c r="C168" s="185">
        <v>300</v>
      </c>
      <c r="D168" s="484">
        <v>691391</v>
      </c>
      <c r="E168" s="484">
        <v>691391</v>
      </c>
    </row>
    <row r="169" spans="1:5" ht="38.25">
      <c r="A169" s="13" t="s">
        <v>88</v>
      </c>
      <c r="B169" s="183" t="s">
        <v>265</v>
      </c>
      <c r="C169" s="185">
        <v>600</v>
      </c>
      <c r="D169" s="485">
        <v>862645</v>
      </c>
      <c r="E169" s="485">
        <v>862645</v>
      </c>
    </row>
    <row r="170" spans="1:5" ht="51">
      <c r="A170" s="33" t="s">
        <v>715</v>
      </c>
      <c r="B170" s="183" t="s">
        <v>716</v>
      </c>
      <c r="C170" s="182"/>
      <c r="D170" s="484">
        <f>D171</f>
        <v>50000</v>
      </c>
      <c r="E170" s="484">
        <f>E171</f>
        <v>46934</v>
      </c>
    </row>
    <row r="171" spans="1:5" ht="25.5">
      <c r="A171" s="33" t="s">
        <v>718</v>
      </c>
      <c r="B171" s="183" t="s">
        <v>717</v>
      </c>
      <c r="C171" s="182"/>
      <c r="D171" s="484">
        <f>D172</f>
        <v>50000</v>
      </c>
      <c r="E171" s="484">
        <f>E172</f>
        <v>46934</v>
      </c>
    </row>
    <row r="172" spans="1:5" ht="25.5">
      <c r="A172" s="13" t="s">
        <v>212</v>
      </c>
      <c r="B172" s="183" t="s">
        <v>717</v>
      </c>
      <c r="C172" s="182">
        <v>200</v>
      </c>
      <c r="D172" s="485">
        <v>50000</v>
      </c>
      <c r="E172" s="485">
        <v>46934</v>
      </c>
    </row>
    <row r="173" spans="1:5" ht="76.5">
      <c r="A173" s="12" t="s">
        <v>411</v>
      </c>
      <c r="B173" s="183" t="s">
        <v>232</v>
      </c>
      <c r="C173" s="196" t="s">
        <v>85</v>
      </c>
      <c r="D173" s="484">
        <f aca="true" t="shared" si="2" ref="D173:E175">D174</f>
        <v>50000</v>
      </c>
      <c r="E173" s="484">
        <f t="shared" si="2"/>
        <v>46935</v>
      </c>
    </row>
    <row r="174" spans="1:5" ht="63.75">
      <c r="A174" s="33" t="s">
        <v>231</v>
      </c>
      <c r="B174" s="183" t="s">
        <v>230</v>
      </c>
      <c r="C174" s="196"/>
      <c r="D174" s="484">
        <f t="shared" si="2"/>
        <v>50000</v>
      </c>
      <c r="E174" s="484">
        <f t="shared" si="2"/>
        <v>46935</v>
      </c>
    </row>
    <row r="175" spans="1:5" ht="51">
      <c r="A175" s="33" t="s">
        <v>229</v>
      </c>
      <c r="B175" s="183" t="s">
        <v>228</v>
      </c>
      <c r="C175" s="196"/>
      <c r="D175" s="484">
        <f t="shared" si="2"/>
        <v>50000</v>
      </c>
      <c r="E175" s="484">
        <f t="shared" si="2"/>
        <v>46935</v>
      </c>
    </row>
    <row r="176" spans="1:5" ht="25.5">
      <c r="A176" s="180" t="s">
        <v>212</v>
      </c>
      <c r="B176" s="179" t="s">
        <v>228</v>
      </c>
      <c r="C176" s="178">
        <v>200</v>
      </c>
      <c r="D176" s="489">
        <v>50000</v>
      </c>
      <c r="E176" s="489">
        <v>46935</v>
      </c>
    </row>
    <row r="177" spans="1:5" ht="63.75">
      <c r="A177" s="191" t="s">
        <v>452</v>
      </c>
      <c r="B177" s="248" t="s">
        <v>29</v>
      </c>
      <c r="C177" s="249" t="s">
        <v>85</v>
      </c>
      <c r="D177" s="483">
        <f>D178+D188+D192</f>
        <v>4462006.8</v>
      </c>
      <c r="E177" s="483">
        <f>E178+E188+E192</f>
        <v>33729970.54</v>
      </c>
    </row>
    <row r="178" spans="1:5" ht="89.25">
      <c r="A178" s="12" t="s">
        <v>45</v>
      </c>
      <c r="B178" s="186" t="s">
        <v>217</v>
      </c>
      <c r="C178" s="196" t="s">
        <v>85</v>
      </c>
      <c r="D178" s="484">
        <f>D179+D182+D185</f>
        <v>2727158</v>
      </c>
      <c r="E178" s="484">
        <f>E179+E182+E185</f>
        <v>33729970.54</v>
      </c>
    </row>
    <row r="179" spans="1:5" ht="38.25">
      <c r="A179" s="29" t="s">
        <v>216</v>
      </c>
      <c r="B179" s="183" t="s">
        <v>215</v>
      </c>
      <c r="C179" s="196"/>
      <c r="D179" s="484">
        <f>D180</f>
        <v>299728</v>
      </c>
      <c r="E179" s="484">
        <f>E180</f>
        <v>0</v>
      </c>
    </row>
    <row r="180" spans="1:5" ht="38.25">
      <c r="A180" s="33" t="s">
        <v>31</v>
      </c>
      <c r="B180" s="183" t="s">
        <v>214</v>
      </c>
      <c r="C180" s="196"/>
      <c r="D180" s="484">
        <f>D181</f>
        <v>299728</v>
      </c>
      <c r="E180" s="484">
        <f>E181</f>
        <v>0</v>
      </c>
    </row>
    <row r="181" spans="1:5" ht="12.75">
      <c r="A181" s="13" t="s">
        <v>75</v>
      </c>
      <c r="B181" s="183" t="s">
        <v>214</v>
      </c>
      <c r="C181" s="182">
        <v>800</v>
      </c>
      <c r="D181" s="485">
        <v>299728</v>
      </c>
      <c r="E181" s="485">
        <v>0</v>
      </c>
    </row>
    <row r="182" spans="1:5" ht="38.25">
      <c r="A182" s="29" t="s">
        <v>213</v>
      </c>
      <c r="B182" s="183" t="s">
        <v>234</v>
      </c>
      <c r="C182" s="196"/>
      <c r="D182" s="484">
        <f>D183</f>
        <v>2427430</v>
      </c>
      <c r="E182" s="484">
        <f>E183</f>
        <v>33729970.54</v>
      </c>
    </row>
    <row r="183" spans="1:5" ht="38.25">
      <c r="A183" s="49" t="s">
        <v>595</v>
      </c>
      <c r="B183" s="47" t="s">
        <v>594</v>
      </c>
      <c r="C183" s="182" t="s">
        <v>85</v>
      </c>
      <c r="D183" s="484">
        <f>D184</f>
        <v>2427430</v>
      </c>
      <c r="E183" s="484">
        <f>E184</f>
        <v>33729970.54</v>
      </c>
    </row>
    <row r="184" spans="1:5" ht="25.5">
      <c r="A184" s="13" t="s">
        <v>212</v>
      </c>
      <c r="B184" s="47" t="s">
        <v>594</v>
      </c>
      <c r="C184" s="182">
        <v>200</v>
      </c>
      <c r="D184" s="485">
        <v>2427430</v>
      </c>
      <c r="E184" s="485">
        <f>26654878.16+7075092.38</f>
        <v>33729970.54</v>
      </c>
    </row>
    <row r="185" spans="1:5" ht="51" hidden="1">
      <c r="A185" s="13" t="s">
        <v>63</v>
      </c>
      <c r="B185" s="183" t="s">
        <v>64</v>
      </c>
      <c r="C185" s="182"/>
      <c r="D185" s="484">
        <f>D186</f>
        <v>0</v>
      </c>
      <c r="E185" s="484">
        <f>E186</f>
        <v>0</v>
      </c>
    </row>
    <row r="186" spans="1:5" ht="24" hidden="1">
      <c r="A186" s="23" t="s">
        <v>707</v>
      </c>
      <c r="B186" s="183" t="s">
        <v>708</v>
      </c>
      <c r="C186" s="182"/>
      <c r="D186" s="484">
        <f>D187</f>
        <v>0</v>
      </c>
      <c r="E186" s="484">
        <f>E187</f>
        <v>0</v>
      </c>
    </row>
    <row r="187" spans="1:5" ht="25.5" hidden="1">
      <c r="A187" s="212" t="s">
        <v>205</v>
      </c>
      <c r="B187" s="183" t="s">
        <v>708</v>
      </c>
      <c r="C187" s="182">
        <v>400</v>
      </c>
      <c r="D187" s="485"/>
      <c r="E187" s="485"/>
    </row>
    <row r="188" spans="1:5" ht="89.25">
      <c r="A188" s="12" t="s">
        <v>244</v>
      </c>
      <c r="B188" s="186" t="s">
        <v>30</v>
      </c>
      <c r="C188" s="182"/>
      <c r="D188" s="484">
        <f aca="true" t="shared" si="3" ref="D188:E190">D189</f>
        <v>200272</v>
      </c>
      <c r="E188" s="484">
        <f t="shared" si="3"/>
        <v>0</v>
      </c>
    </row>
    <row r="189" spans="1:5" ht="76.5">
      <c r="A189" s="29" t="s">
        <v>97</v>
      </c>
      <c r="B189" s="183" t="s">
        <v>423</v>
      </c>
      <c r="C189" s="182"/>
      <c r="D189" s="484">
        <f t="shared" si="3"/>
        <v>200272</v>
      </c>
      <c r="E189" s="484">
        <f t="shared" si="3"/>
        <v>0</v>
      </c>
    </row>
    <row r="190" spans="1:5" ht="25.5">
      <c r="A190" s="33" t="s">
        <v>332</v>
      </c>
      <c r="B190" s="183" t="s">
        <v>331</v>
      </c>
      <c r="C190" s="182"/>
      <c r="D190" s="484">
        <f t="shared" si="3"/>
        <v>200272</v>
      </c>
      <c r="E190" s="484">
        <f t="shared" si="3"/>
        <v>0</v>
      </c>
    </row>
    <row r="191" spans="1:5" ht="12.75">
      <c r="A191" s="33" t="s">
        <v>75</v>
      </c>
      <c r="B191" s="183" t="s">
        <v>331</v>
      </c>
      <c r="C191" s="182">
        <v>800</v>
      </c>
      <c r="D191" s="484">
        <v>200272</v>
      </c>
      <c r="E191" s="484">
        <v>0</v>
      </c>
    </row>
    <row r="192" spans="1:5" ht="25.5">
      <c r="A192" s="451" t="s">
        <v>849</v>
      </c>
      <c r="B192" s="183" t="s">
        <v>869</v>
      </c>
      <c r="C192" s="182"/>
      <c r="D192" s="484">
        <f aca="true" t="shared" si="4" ref="D192:E194">D193</f>
        <v>1534576.8</v>
      </c>
      <c r="E192" s="484">
        <f t="shared" si="4"/>
        <v>0</v>
      </c>
    </row>
    <row r="193" spans="1:5" ht="38.25">
      <c r="A193" s="33" t="s">
        <v>850</v>
      </c>
      <c r="B193" s="183" t="s">
        <v>870</v>
      </c>
      <c r="C193" s="182"/>
      <c r="D193" s="484">
        <f t="shared" si="4"/>
        <v>1534576.8</v>
      </c>
      <c r="E193" s="484">
        <f t="shared" si="4"/>
        <v>0</v>
      </c>
    </row>
    <row r="194" spans="1:5" ht="12.75">
      <c r="A194" s="33" t="s">
        <v>851</v>
      </c>
      <c r="B194" s="183" t="s">
        <v>871</v>
      </c>
      <c r="C194" s="182"/>
      <c r="D194" s="484">
        <f t="shared" si="4"/>
        <v>1534576.8</v>
      </c>
      <c r="E194" s="484">
        <f t="shared" si="4"/>
        <v>0</v>
      </c>
    </row>
    <row r="195" spans="1:5" ht="25.5">
      <c r="A195" s="33" t="s">
        <v>212</v>
      </c>
      <c r="B195" s="183" t="s">
        <v>871</v>
      </c>
      <c r="C195" s="182">
        <v>200</v>
      </c>
      <c r="D195" s="484">
        <v>1534576.8</v>
      </c>
      <c r="E195" s="484"/>
    </row>
    <row r="196" spans="1:5" ht="63.75">
      <c r="A196" s="191" t="s">
        <v>280</v>
      </c>
      <c r="B196" s="159" t="s">
        <v>12</v>
      </c>
      <c r="C196" s="159"/>
      <c r="D196" s="483">
        <f>D197</f>
        <v>384700</v>
      </c>
      <c r="E196" s="483">
        <f>E197</f>
        <v>381634</v>
      </c>
    </row>
    <row r="197" spans="1:5" ht="76.5">
      <c r="A197" s="12" t="s">
        <v>281</v>
      </c>
      <c r="B197" s="182" t="s">
        <v>13</v>
      </c>
      <c r="C197" s="182"/>
      <c r="D197" s="484">
        <f>D198+D201</f>
        <v>384700</v>
      </c>
      <c r="E197" s="484">
        <f>E198+E201</f>
        <v>381634</v>
      </c>
    </row>
    <row r="198" spans="1:5" ht="38.25">
      <c r="A198" s="53" t="s">
        <v>268</v>
      </c>
      <c r="B198" s="182" t="s">
        <v>107</v>
      </c>
      <c r="C198" s="182"/>
      <c r="D198" s="484">
        <f>D199</f>
        <v>50000</v>
      </c>
      <c r="E198" s="484">
        <f>E199</f>
        <v>46934</v>
      </c>
    </row>
    <row r="199" spans="1:5" ht="36">
      <c r="A199" s="23" t="s">
        <v>255</v>
      </c>
      <c r="B199" s="51" t="s">
        <v>269</v>
      </c>
      <c r="C199" s="51"/>
      <c r="D199" s="484">
        <f>D200</f>
        <v>50000</v>
      </c>
      <c r="E199" s="484">
        <f>E200</f>
        <v>46934</v>
      </c>
    </row>
    <row r="200" spans="1:5" ht="25.5">
      <c r="A200" s="53" t="s">
        <v>212</v>
      </c>
      <c r="B200" s="51" t="s">
        <v>269</v>
      </c>
      <c r="C200" s="51">
        <v>200</v>
      </c>
      <c r="D200" s="484">
        <v>50000</v>
      </c>
      <c r="E200" s="484">
        <v>46934</v>
      </c>
    </row>
    <row r="201" spans="1:5" ht="38.25">
      <c r="A201" s="13" t="s">
        <v>270</v>
      </c>
      <c r="B201" s="182" t="s">
        <v>259</v>
      </c>
      <c r="C201" s="182"/>
      <c r="D201" s="484">
        <f>D202</f>
        <v>334700</v>
      </c>
      <c r="E201" s="484">
        <f>E202</f>
        <v>334700</v>
      </c>
    </row>
    <row r="202" spans="1:5" ht="51">
      <c r="A202" s="13" t="s">
        <v>106</v>
      </c>
      <c r="B202" s="182" t="s">
        <v>271</v>
      </c>
      <c r="C202" s="182"/>
      <c r="D202" s="484">
        <f>SUM(D203:D204)</f>
        <v>334700</v>
      </c>
      <c r="E202" s="484">
        <f>SUM(E203:E204)</f>
        <v>334700</v>
      </c>
    </row>
    <row r="203" spans="1:5" ht="63.75">
      <c r="A203" s="13" t="s">
        <v>698</v>
      </c>
      <c r="B203" s="182" t="s">
        <v>271</v>
      </c>
      <c r="C203" s="182">
        <v>100</v>
      </c>
      <c r="D203" s="485">
        <v>334700</v>
      </c>
      <c r="E203" s="485">
        <v>334700</v>
      </c>
    </row>
    <row r="204" spans="1:5" ht="25.5" hidden="1">
      <c r="A204" s="180" t="s">
        <v>212</v>
      </c>
      <c r="B204" s="178" t="s">
        <v>271</v>
      </c>
      <c r="C204" s="178">
        <v>200</v>
      </c>
      <c r="D204" s="489"/>
      <c r="E204" s="489"/>
    </row>
    <row r="205" spans="1:5" ht="63.75">
      <c r="A205" s="191" t="s">
        <v>456</v>
      </c>
      <c r="B205" s="248" t="s">
        <v>19</v>
      </c>
      <c r="C205" s="159" t="s">
        <v>85</v>
      </c>
      <c r="D205" s="483">
        <f aca="true" t="shared" si="5" ref="D205:E207">D206</f>
        <v>2707710</v>
      </c>
      <c r="E205" s="483">
        <f t="shared" si="5"/>
        <v>2541699</v>
      </c>
    </row>
    <row r="206" spans="1:5" ht="89.25">
      <c r="A206" s="24" t="s">
        <v>278</v>
      </c>
      <c r="B206" s="183" t="s">
        <v>845</v>
      </c>
      <c r="C206" s="182"/>
      <c r="D206" s="484">
        <f t="shared" si="5"/>
        <v>2707710</v>
      </c>
      <c r="E206" s="484">
        <f t="shared" si="5"/>
        <v>2541699</v>
      </c>
    </row>
    <row r="207" spans="1:5" ht="76.5">
      <c r="A207" s="28" t="s">
        <v>243</v>
      </c>
      <c r="B207" s="183" t="s">
        <v>881</v>
      </c>
      <c r="C207" s="182"/>
      <c r="D207" s="484">
        <f t="shared" si="5"/>
        <v>2707710</v>
      </c>
      <c r="E207" s="484">
        <f t="shared" si="5"/>
        <v>2541699</v>
      </c>
    </row>
    <row r="208" spans="1:5" ht="25.5">
      <c r="A208" s="185" t="s">
        <v>468</v>
      </c>
      <c r="B208" s="183" t="s">
        <v>876</v>
      </c>
      <c r="C208" s="182" t="s">
        <v>85</v>
      </c>
      <c r="D208" s="484">
        <f>SUM(D209:D211)</f>
        <v>2707710</v>
      </c>
      <c r="E208" s="484">
        <f>SUM(E209:E211)</f>
        <v>2541699</v>
      </c>
    </row>
    <row r="209" spans="1:5" ht="63.75">
      <c r="A209" s="13" t="s">
        <v>698</v>
      </c>
      <c r="B209" s="183" t="s">
        <v>876</v>
      </c>
      <c r="C209" s="182" t="s">
        <v>565</v>
      </c>
      <c r="D209" s="485">
        <v>2562144</v>
      </c>
      <c r="E209" s="485">
        <v>2405057</v>
      </c>
    </row>
    <row r="210" spans="1:5" ht="25.5">
      <c r="A210" s="13" t="s">
        <v>212</v>
      </c>
      <c r="B210" s="183" t="s">
        <v>876</v>
      </c>
      <c r="C210" s="182" t="s">
        <v>72</v>
      </c>
      <c r="D210" s="485">
        <v>144366</v>
      </c>
      <c r="E210" s="485">
        <v>135515</v>
      </c>
    </row>
    <row r="211" spans="1:5" ht="12.75">
      <c r="A211" s="180" t="s">
        <v>75</v>
      </c>
      <c r="B211" s="183" t="s">
        <v>876</v>
      </c>
      <c r="C211" s="178" t="s">
        <v>76</v>
      </c>
      <c r="D211" s="489">
        <v>1200</v>
      </c>
      <c r="E211" s="489">
        <v>1127</v>
      </c>
    </row>
    <row r="212" spans="1:5" ht="25.5">
      <c r="A212" s="191" t="s">
        <v>166</v>
      </c>
      <c r="B212" s="248" t="s">
        <v>656</v>
      </c>
      <c r="C212" s="249" t="s">
        <v>85</v>
      </c>
      <c r="D212" s="483">
        <f>D213+D217</f>
        <v>4276347</v>
      </c>
      <c r="E212" s="483">
        <f>E213+E217</f>
        <v>4014161</v>
      </c>
    </row>
    <row r="213" spans="1:5" ht="51">
      <c r="A213" s="12" t="s">
        <v>366</v>
      </c>
      <c r="B213" s="183" t="s">
        <v>116</v>
      </c>
      <c r="C213" s="196" t="s">
        <v>85</v>
      </c>
      <c r="D213" s="484">
        <f aca="true" t="shared" si="6" ref="D213:E215">D214</f>
        <v>55000</v>
      </c>
      <c r="E213" s="484">
        <f t="shared" si="6"/>
        <v>51628</v>
      </c>
    </row>
    <row r="214" spans="1:5" ht="51">
      <c r="A214" s="28" t="s">
        <v>115</v>
      </c>
      <c r="B214" s="183" t="s">
        <v>117</v>
      </c>
      <c r="C214" s="196"/>
      <c r="D214" s="484">
        <f t="shared" si="6"/>
        <v>55000</v>
      </c>
      <c r="E214" s="484">
        <f t="shared" si="6"/>
        <v>51628</v>
      </c>
    </row>
    <row r="215" spans="1:5" ht="12.75">
      <c r="A215" s="33" t="s">
        <v>118</v>
      </c>
      <c r="B215" s="183" t="s">
        <v>119</v>
      </c>
      <c r="C215" s="196" t="s">
        <v>85</v>
      </c>
      <c r="D215" s="484">
        <f t="shared" si="6"/>
        <v>55000</v>
      </c>
      <c r="E215" s="484">
        <f t="shared" si="6"/>
        <v>51628</v>
      </c>
    </row>
    <row r="216" spans="1:5" ht="25.5">
      <c r="A216" s="13" t="s">
        <v>467</v>
      </c>
      <c r="B216" s="183" t="s">
        <v>119</v>
      </c>
      <c r="C216" s="182" t="s">
        <v>80</v>
      </c>
      <c r="D216" s="485">
        <v>55000</v>
      </c>
      <c r="E216" s="485">
        <v>51628</v>
      </c>
    </row>
    <row r="217" spans="1:5" ht="51">
      <c r="A217" s="12" t="s">
        <v>168</v>
      </c>
      <c r="B217" s="182" t="s">
        <v>657</v>
      </c>
      <c r="C217" s="182" t="s">
        <v>85</v>
      </c>
      <c r="D217" s="484">
        <f>D218</f>
        <v>4221347</v>
      </c>
      <c r="E217" s="484">
        <f>E218</f>
        <v>3962533</v>
      </c>
    </row>
    <row r="218" spans="1:5" ht="51">
      <c r="A218" s="28" t="s">
        <v>567</v>
      </c>
      <c r="B218" s="182" t="s">
        <v>296</v>
      </c>
      <c r="C218" s="182"/>
      <c r="D218" s="484">
        <f>D219</f>
        <v>4221347</v>
      </c>
      <c r="E218" s="484">
        <f>E219</f>
        <v>3962533</v>
      </c>
    </row>
    <row r="219" spans="1:5" ht="25.5">
      <c r="A219" s="185" t="s">
        <v>694</v>
      </c>
      <c r="B219" s="182" t="s">
        <v>658</v>
      </c>
      <c r="C219" s="182" t="s">
        <v>85</v>
      </c>
      <c r="D219" s="484">
        <f>SUM(D220:D222)</f>
        <v>4221347</v>
      </c>
      <c r="E219" s="484">
        <f>SUM(E220:E222)</f>
        <v>3962533</v>
      </c>
    </row>
    <row r="220" spans="1:5" ht="63.75">
      <c r="A220" s="13" t="s">
        <v>698</v>
      </c>
      <c r="B220" s="182" t="s">
        <v>658</v>
      </c>
      <c r="C220" s="182">
        <v>100</v>
      </c>
      <c r="D220" s="485">
        <v>4151448</v>
      </c>
      <c r="E220" s="485">
        <v>3896920</v>
      </c>
    </row>
    <row r="221" spans="1:5" ht="25.5">
      <c r="A221" s="13" t="s">
        <v>212</v>
      </c>
      <c r="B221" s="182" t="s">
        <v>658</v>
      </c>
      <c r="C221" s="182" t="s">
        <v>72</v>
      </c>
      <c r="D221" s="485">
        <v>69899</v>
      </c>
      <c r="E221" s="485">
        <v>65613</v>
      </c>
    </row>
    <row r="222" spans="1:5" ht="12.75" hidden="1">
      <c r="A222" s="180" t="s">
        <v>75</v>
      </c>
      <c r="B222" s="178" t="s">
        <v>658</v>
      </c>
      <c r="C222" s="178">
        <v>800</v>
      </c>
      <c r="D222" s="489"/>
      <c r="E222" s="489"/>
    </row>
    <row r="223" spans="1:5" ht="38.25">
      <c r="A223" s="191" t="s">
        <v>46</v>
      </c>
      <c r="B223" s="189" t="s">
        <v>597</v>
      </c>
      <c r="C223" s="260"/>
      <c r="D223" s="498">
        <f aca="true" t="shared" si="7" ref="D223:E225">D224</f>
        <v>55000</v>
      </c>
      <c r="E223" s="498">
        <f t="shared" si="7"/>
        <v>18774</v>
      </c>
    </row>
    <row r="224" spans="1:5" ht="24">
      <c r="A224" s="23" t="s">
        <v>600</v>
      </c>
      <c r="B224" s="183" t="s">
        <v>599</v>
      </c>
      <c r="C224" s="216"/>
      <c r="D224" s="484">
        <f t="shared" si="7"/>
        <v>55000</v>
      </c>
      <c r="E224" s="484">
        <f t="shared" si="7"/>
        <v>18774</v>
      </c>
    </row>
    <row r="225" spans="1:5" ht="38.25">
      <c r="A225" s="20" t="s">
        <v>598</v>
      </c>
      <c r="B225" s="183" t="s">
        <v>96</v>
      </c>
      <c r="C225" s="216"/>
      <c r="D225" s="484">
        <f t="shared" si="7"/>
        <v>55000</v>
      </c>
      <c r="E225" s="484">
        <f t="shared" si="7"/>
        <v>18774</v>
      </c>
    </row>
    <row r="226" spans="1:5" ht="12.75">
      <c r="A226" s="259" t="s">
        <v>75</v>
      </c>
      <c r="B226" s="179" t="s">
        <v>96</v>
      </c>
      <c r="C226" s="258">
        <v>800</v>
      </c>
      <c r="D226" s="489">
        <f>20000+35000</f>
        <v>55000</v>
      </c>
      <c r="E226" s="489">
        <v>18774</v>
      </c>
    </row>
    <row r="227" spans="1:5" ht="38.25">
      <c r="A227" s="191" t="s">
        <v>665</v>
      </c>
      <c r="B227" s="248" t="s">
        <v>21</v>
      </c>
      <c r="C227" s="159" t="s">
        <v>85</v>
      </c>
      <c r="D227" s="483">
        <f>D228+D232</f>
        <v>428121</v>
      </c>
      <c r="E227" s="483">
        <f>E228+E232</f>
        <v>422394</v>
      </c>
    </row>
    <row r="228" spans="1:5" ht="63.75">
      <c r="A228" s="12" t="s">
        <v>557</v>
      </c>
      <c r="B228" s="183" t="s">
        <v>22</v>
      </c>
      <c r="C228" s="182"/>
      <c r="D228" s="484">
        <f aca="true" t="shared" si="8" ref="D228:E230">D229</f>
        <v>93421</v>
      </c>
      <c r="E228" s="484">
        <f t="shared" si="8"/>
        <v>87694</v>
      </c>
    </row>
    <row r="229" spans="1:5" ht="51">
      <c r="A229" s="29" t="s">
        <v>488</v>
      </c>
      <c r="B229" s="183" t="s">
        <v>23</v>
      </c>
      <c r="C229" s="182"/>
      <c r="D229" s="484">
        <f t="shared" si="8"/>
        <v>93421</v>
      </c>
      <c r="E229" s="484">
        <f t="shared" si="8"/>
        <v>87694</v>
      </c>
    </row>
    <row r="230" spans="1:5" ht="25.5">
      <c r="A230" s="13" t="s">
        <v>664</v>
      </c>
      <c r="B230" s="183" t="s">
        <v>24</v>
      </c>
      <c r="C230" s="182"/>
      <c r="D230" s="484">
        <f t="shared" si="8"/>
        <v>93421</v>
      </c>
      <c r="E230" s="484">
        <f t="shared" si="8"/>
        <v>87694</v>
      </c>
    </row>
    <row r="231" spans="1:5" ht="38.25">
      <c r="A231" s="13" t="s">
        <v>88</v>
      </c>
      <c r="B231" s="183" t="s">
        <v>24</v>
      </c>
      <c r="C231" s="182">
        <v>600</v>
      </c>
      <c r="D231" s="485">
        <v>93421</v>
      </c>
      <c r="E231" s="485">
        <v>87694</v>
      </c>
    </row>
    <row r="232" spans="1:5" ht="51">
      <c r="A232" s="12" t="s">
        <v>558</v>
      </c>
      <c r="B232" s="183" t="s">
        <v>26</v>
      </c>
      <c r="C232" s="182"/>
      <c r="D232" s="484">
        <f>D233</f>
        <v>334700</v>
      </c>
      <c r="E232" s="484">
        <f>E233</f>
        <v>334700</v>
      </c>
    </row>
    <row r="233" spans="1:5" ht="51">
      <c r="A233" s="28" t="s">
        <v>427</v>
      </c>
      <c r="B233" s="183" t="s">
        <v>27</v>
      </c>
      <c r="C233" s="182"/>
      <c r="D233" s="484">
        <f>D234</f>
        <v>334700</v>
      </c>
      <c r="E233" s="484">
        <f>E234</f>
        <v>334700</v>
      </c>
    </row>
    <row r="234" spans="1:5" ht="25.5">
      <c r="A234" s="185" t="s">
        <v>444</v>
      </c>
      <c r="B234" s="183" t="s">
        <v>28</v>
      </c>
      <c r="C234" s="196" t="s">
        <v>85</v>
      </c>
      <c r="D234" s="484">
        <f>SUM(D235:D236)</f>
        <v>334700</v>
      </c>
      <c r="E234" s="484">
        <f>SUM(E235:E236)</f>
        <v>334700</v>
      </c>
    </row>
    <row r="235" spans="1:5" ht="63.75">
      <c r="A235" s="28" t="s">
        <v>698</v>
      </c>
      <c r="B235" s="183" t="s">
        <v>28</v>
      </c>
      <c r="C235" s="182">
        <v>100</v>
      </c>
      <c r="D235" s="485">
        <v>331700</v>
      </c>
      <c r="E235" s="485">
        <v>331700</v>
      </c>
    </row>
    <row r="236" spans="1:5" ht="25.5">
      <c r="A236" s="28" t="s">
        <v>212</v>
      </c>
      <c r="B236" s="183" t="s">
        <v>28</v>
      </c>
      <c r="C236" s="182">
        <v>200</v>
      </c>
      <c r="D236" s="485">
        <v>3000</v>
      </c>
      <c r="E236" s="485">
        <v>3000</v>
      </c>
    </row>
    <row r="237" spans="1:5" ht="51">
      <c r="A237" s="191" t="s">
        <v>451</v>
      </c>
      <c r="B237" s="248" t="s">
        <v>605</v>
      </c>
      <c r="C237" s="159"/>
      <c r="D237" s="483">
        <f aca="true" t="shared" si="9" ref="D237:E239">D238</f>
        <v>5528887</v>
      </c>
      <c r="E237" s="483">
        <f t="shared" si="9"/>
        <v>6084188</v>
      </c>
    </row>
    <row r="238" spans="1:5" ht="25.5">
      <c r="A238" s="26" t="s">
        <v>672</v>
      </c>
      <c r="B238" s="183" t="s">
        <v>320</v>
      </c>
      <c r="C238" s="182"/>
      <c r="D238" s="484">
        <f t="shared" si="9"/>
        <v>5528887</v>
      </c>
      <c r="E238" s="484">
        <f t="shared" si="9"/>
        <v>6084188</v>
      </c>
    </row>
    <row r="239" spans="1:5" ht="25.5">
      <c r="A239" s="45" t="s">
        <v>322</v>
      </c>
      <c r="B239" s="183" t="s">
        <v>321</v>
      </c>
      <c r="C239" s="182"/>
      <c r="D239" s="484">
        <f t="shared" si="9"/>
        <v>5528887</v>
      </c>
      <c r="E239" s="484">
        <f t="shared" si="9"/>
        <v>6084188</v>
      </c>
    </row>
    <row r="240" spans="1:5" ht="25.5">
      <c r="A240" s="180" t="s">
        <v>212</v>
      </c>
      <c r="B240" s="179" t="s">
        <v>321</v>
      </c>
      <c r="C240" s="178">
        <v>200</v>
      </c>
      <c r="D240" s="489">
        <f>500000+5028887</f>
        <v>5528887</v>
      </c>
      <c r="E240" s="489">
        <f>500000+5584188</f>
        <v>6084188</v>
      </c>
    </row>
    <row r="241" spans="1:5" ht="51">
      <c r="A241" s="313" t="s">
        <v>676</v>
      </c>
      <c r="B241" s="159" t="s">
        <v>108</v>
      </c>
      <c r="C241" s="159"/>
      <c r="D241" s="491">
        <f aca="true" t="shared" si="10" ref="D241:E244">D242</f>
        <v>30000</v>
      </c>
      <c r="E241" s="491">
        <f t="shared" si="10"/>
        <v>28161</v>
      </c>
    </row>
    <row r="242" spans="1:5" ht="66" customHeight="1">
      <c r="A242" s="70" t="s">
        <v>677</v>
      </c>
      <c r="B242" s="182" t="s">
        <v>109</v>
      </c>
      <c r="C242" s="182"/>
      <c r="D242" s="484">
        <f t="shared" si="10"/>
        <v>30000</v>
      </c>
      <c r="E242" s="484">
        <f t="shared" si="10"/>
        <v>28161</v>
      </c>
    </row>
    <row r="243" spans="1:5" ht="38.25">
      <c r="A243" s="13" t="s">
        <v>110</v>
      </c>
      <c r="B243" s="182" t="s">
        <v>111</v>
      </c>
      <c r="C243" s="182"/>
      <c r="D243" s="484">
        <f t="shared" si="10"/>
        <v>30000</v>
      </c>
      <c r="E243" s="484">
        <f t="shared" si="10"/>
        <v>28161</v>
      </c>
    </row>
    <row r="244" spans="1:5" ht="38.25">
      <c r="A244" s="13" t="s">
        <v>113</v>
      </c>
      <c r="B244" s="182" t="s">
        <v>112</v>
      </c>
      <c r="C244" s="182"/>
      <c r="D244" s="484">
        <f t="shared" si="10"/>
        <v>30000</v>
      </c>
      <c r="E244" s="484">
        <f t="shared" si="10"/>
        <v>28161</v>
      </c>
    </row>
    <row r="245" spans="1:5" ht="25.5">
      <c r="A245" s="180" t="s">
        <v>212</v>
      </c>
      <c r="B245" s="178" t="s">
        <v>112</v>
      </c>
      <c r="C245" s="178">
        <v>200</v>
      </c>
      <c r="D245" s="489">
        <v>30000</v>
      </c>
      <c r="E245" s="489">
        <v>28161</v>
      </c>
    </row>
    <row r="246" spans="1:5" ht="25.5">
      <c r="A246" s="191" t="s">
        <v>556</v>
      </c>
      <c r="B246" s="159" t="s">
        <v>649</v>
      </c>
      <c r="C246" s="159" t="s">
        <v>85</v>
      </c>
      <c r="D246" s="483">
        <f aca="true" t="shared" si="11" ref="D246:E248">D247</f>
        <v>1366926</v>
      </c>
      <c r="E246" s="483">
        <f t="shared" si="11"/>
        <v>1283191</v>
      </c>
    </row>
    <row r="247" spans="1:5" ht="12.75">
      <c r="A247" s="13" t="s">
        <v>341</v>
      </c>
      <c r="B247" s="182" t="s">
        <v>650</v>
      </c>
      <c r="C247" s="182" t="s">
        <v>85</v>
      </c>
      <c r="D247" s="484">
        <f t="shared" si="11"/>
        <v>1366926</v>
      </c>
      <c r="E247" s="484">
        <f t="shared" si="11"/>
        <v>1283191</v>
      </c>
    </row>
    <row r="248" spans="1:5" ht="25.5">
      <c r="A248" s="185" t="s">
        <v>694</v>
      </c>
      <c r="B248" s="182" t="s">
        <v>651</v>
      </c>
      <c r="C248" s="182" t="s">
        <v>85</v>
      </c>
      <c r="D248" s="484">
        <f t="shared" si="11"/>
        <v>1366926</v>
      </c>
      <c r="E248" s="484">
        <f t="shared" si="11"/>
        <v>1283191</v>
      </c>
    </row>
    <row r="249" spans="1:5" ht="63.75">
      <c r="A249" s="180" t="s">
        <v>698</v>
      </c>
      <c r="B249" s="178" t="s">
        <v>651</v>
      </c>
      <c r="C249" s="178" t="s">
        <v>565</v>
      </c>
      <c r="D249" s="489">
        <v>1366926</v>
      </c>
      <c r="E249" s="489">
        <v>1283191</v>
      </c>
    </row>
    <row r="250" spans="1:5" ht="25.5">
      <c r="A250" s="191" t="s">
        <v>443</v>
      </c>
      <c r="B250" s="159" t="s">
        <v>652</v>
      </c>
      <c r="C250" s="159" t="s">
        <v>85</v>
      </c>
      <c r="D250" s="483">
        <f>D251</f>
        <v>12906450</v>
      </c>
      <c r="E250" s="483">
        <f>E251</f>
        <v>12135595</v>
      </c>
    </row>
    <row r="251" spans="1:5" ht="25.5">
      <c r="A251" s="13" t="s">
        <v>447</v>
      </c>
      <c r="B251" s="182" t="s">
        <v>653</v>
      </c>
      <c r="C251" s="182" t="s">
        <v>85</v>
      </c>
      <c r="D251" s="484">
        <f>D252+D255</f>
        <v>12906450</v>
      </c>
      <c r="E251" s="484">
        <f>E252+E255</f>
        <v>12135595</v>
      </c>
    </row>
    <row r="252" spans="1:5" ht="38.25">
      <c r="A252" s="13" t="s">
        <v>277</v>
      </c>
      <c r="B252" s="182" t="s">
        <v>654</v>
      </c>
      <c r="C252" s="182"/>
      <c r="D252" s="484">
        <f>SUM(D253:D254)</f>
        <v>334700</v>
      </c>
      <c r="E252" s="484">
        <f>SUM(E253:E254)</f>
        <v>334700</v>
      </c>
    </row>
    <row r="253" spans="1:5" ht="63.75">
      <c r="A253" s="13" t="s">
        <v>698</v>
      </c>
      <c r="B253" s="182" t="s">
        <v>654</v>
      </c>
      <c r="C253" s="182">
        <v>100</v>
      </c>
      <c r="D253" s="485">
        <v>300582</v>
      </c>
      <c r="E253" s="485">
        <v>300582</v>
      </c>
    </row>
    <row r="254" spans="1:5" ht="25.5">
      <c r="A254" s="13" t="s">
        <v>212</v>
      </c>
      <c r="B254" s="182" t="s">
        <v>654</v>
      </c>
      <c r="C254" s="182">
        <v>200</v>
      </c>
      <c r="D254" s="485">
        <v>34118</v>
      </c>
      <c r="E254" s="485">
        <v>34118</v>
      </c>
    </row>
    <row r="255" spans="1:5" ht="25.5">
      <c r="A255" s="185" t="s">
        <v>694</v>
      </c>
      <c r="B255" s="182" t="s">
        <v>655</v>
      </c>
      <c r="C255" s="182" t="s">
        <v>85</v>
      </c>
      <c r="D255" s="484">
        <f>SUM(D256:D258)</f>
        <v>12571750</v>
      </c>
      <c r="E255" s="484">
        <f>SUM(E256:E258)</f>
        <v>11800895</v>
      </c>
    </row>
    <row r="256" spans="1:5" ht="63.75">
      <c r="A256" s="13" t="s">
        <v>698</v>
      </c>
      <c r="B256" s="182" t="s">
        <v>655</v>
      </c>
      <c r="C256" s="182">
        <v>100</v>
      </c>
      <c r="D256" s="485">
        <v>11857799</v>
      </c>
      <c r="E256" s="485">
        <v>11130717</v>
      </c>
    </row>
    <row r="257" spans="1:5" ht="25.5">
      <c r="A257" s="13" t="s">
        <v>212</v>
      </c>
      <c r="B257" s="182" t="s">
        <v>655</v>
      </c>
      <c r="C257" s="182">
        <v>200</v>
      </c>
      <c r="D257" s="485">
        <v>590765</v>
      </c>
      <c r="E257" s="485">
        <v>554545</v>
      </c>
    </row>
    <row r="258" spans="1:5" ht="12.75">
      <c r="A258" s="180" t="s">
        <v>75</v>
      </c>
      <c r="B258" s="178" t="s">
        <v>655</v>
      </c>
      <c r="C258" s="178">
        <v>800</v>
      </c>
      <c r="D258" s="489">
        <v>123186</v>
      </c>
      <c r="E258" s="489">
        <v>115633</v>
      </c>
    </row>
    <row r="259" spans="1:5" ht="38.25">
      <c r="A259" s="191" t="s">
        <v>164</v>
      </c>
      <c r="B259" s="248" t="s">
        <v>659</v>
      </c>
      <c r="C259" s="159" t="s">
        <v>85</v>
      </c>
      <c r="D259" s="483">
        <f>D260+D263</f>
        <v>1025105</v>
      </c>
      <c r="E259" s="483">
        <f>E260+E263</f>
        <v>962255</v>
      </c>
    </row>
    <row r="260" spans="1:5" ht="25.5">
      <c r="A260" s="12" t="s">
        <v>165</v>
      </c>
      <c r="B260" s="186" t="s">
        <v>660</v>
      </c>
      <c r="C260" s="182" t="s">
        <v>85</v>
      </c>
      <c r="D260" s="484">
        <f>D261</f>
        <v>664065</v>
      </c>
      <c r="E260" s="484">
        <f>E261</f>
        <v>623557</v>
      </c>
    </row>
    <row r="261" spans="1:5" ht="25.5">
      <c r="A261" s="185" t="s">
        <v>694</v>
      </c>
      <c r="B261" s="183" t="s">
        <v>661</v>
      </c>
      <c r="C261" s="182"/>
      <c r="D261" s="484">
        <f>SUM(D262:D262)</f>
        <v>664065</v>
      </c>
      <c r="E261" s="484">
        <f>SUM(E262:E262)</f>
        <v>623557</v>
      </c>
    </row>
    <row r="262" spans="1:5" ht="63.75">
      <c r="A262" s="13" t="s">
        <v>698</v>
      </c>
      <c r="B262" s="183" t="s">
        <v>661</v>
      </c>
      <c r="C262" s="182">
        <v>100</v>
      </c>
      <c r="D262" s="484">
        <v>664065</v>
      </c>
      <c r="E262" s="484">
        <v>623557</v>
      </c>
    </row>
    <row r="263" spans="1:5" ht="25.5">
      <c r="A263" s="13" t="s">
        <v>38</v>
      </c>
      <c r="B263" s="186" t="s">
        <v>37</v>
      </c>
      <c r="C263" s="182"/>
      <c r="D263" s="484">
        <f>D264</f>
        <v>361040</v>
      </c>
      <c r="E263" s="484">
        <f>E264</f>
        <v>338698</v>
      </c>
    </row>
    <row r="264" spans="1:5" ht="25.5">
      <c r="A264" s="185" t="s">
        <v>694</v>
      </c>
      <c r="B264" s="183" t="s">
        <v>36</v>
      </c>
      <c r="C264" s="182"/>
      <c r="D264" s="484">
        <f>SUM(D265:D266)</f>
        <v>361040</v>
      </c>
      <c r="E264" s="484">
        <f>SUM(E265:E266)</f>
        <v>338698</v>
      </c>
    </row>
    <row r="265" spans="1:5" ht="63.75">
      <c r="A265" s="13" t="s">
        <v>698</v>
      </c>
      <c r="B265" s="183" t="s">
        <v>36</v>
      </c>
      <c r="C265" s="182">
        <v>100</v>
      </c>
      <c r="D265" s="485">
        <v>361040</v>
      </c>
      <c r="E265" s="485">
        <v>338698</v>
      </c>
    </row>
    <row r="266" spans="1:5" ht="25.5" customHeight="1" hidden="1">
      <c r="A266" s="180" t="s">
        <v>212</v>
      </c>
      <c r="B266" s="179" t="s">
        <v>36</v>
      </c>
      <c r="C266" s="178">
        <v>200</v>
      </c>
      <c r="D266" s="489"/>
      <c r="E266" s="489"/>
    </row>
    <row r="267" spans="1:5" ht="38.25">
      <c r="A267" s="191" t="s">
        <v>494</v>
      </c>
      <c r="B267" s="248" t="s">
        <v>493</v>
      </c>
      <c r="C267" s="249" t="s">
        <v>85</v>
      </c>
      <c r="D267" s="483">
        <f>D268</f>
        <v>76100</v>
      </c>
      <c r="E267" s="483">
        <f>E268</f>
        <v>71434</v>
      </c>
    </row>
    <row r="268" spans="1:5" ht="12.75">
      <c r="A268" s="13" t="s">
        <v>492</v>
      </c>
      <c r="B268" s="183" t="s">
        <v>491</v>
      </c>
      <c r="C268" s="196"/>
      <c r="D268" s="484">
        <f>D269+D271</f>
        <v>76100</v>
      </c>
      <c r="E268" s="484">
        <f>E269+E271</f>
        <v>71434</v>
      </c>
    </row>
    <row r="269" spans="1:5" ht="25.5">
      <c r="A269" s="185" t="s">
        <v>34</v>
      </c>
      <c r="B269" s="183" t="s">
        <v>679</v>
      </c>
      <c r="C269" s="182"/>
      <c r="D269" s="484">
        <f>D270</f>
        <v>59900</v>
      </c>
      <c r="E269" s="484">
        <f>E270</f>
        <v>56227</v>
      </c>
    </row>
    <row r="270" spans="1:5" ht="12.75">
      <c r="A270" s="13" t="s">
        <v>75</v>
      </c>
      <c r="B270" s="183" t="s">
        <v>679</v>
      </c>
      <c r="C270" s="182">
        <v>800</v>
      </c>
      <c r="D270" s="484">
        <v>59900</v>
      </c>
      <c r="E270" s="484">
        <v>56227</v>
      </c>
    </row>
    <row r="271" spans="1:5" ht="25.5">
      <c r="A271" s="33" t="s">
        <v>490</v>
      </c>
      <c r="B271" s="183" t="s">
        <v>489</v>
      </c>
      <c r="C271" s="196" t="s">
        <v>85</v>
      </c>
      <c r="D271" s="484">
        <f>D272</f>
        <v>16200</v>
      </c>
      <c r="E271" s="484">
        <f>E272</f>
        <v>15207</v>
      </c>
    </row>
    <row r="272" spans="1:5" ht="25.5">
      <c r="A272" s="180" t="s">
        <v>89</v>
      </c>
      <c r="B272" s="179" t="s">
        <v>489</v>
      </c>
      <c r="C272" s="178">
        <v>200</v>
      </c>
      <c r="D272" s="489">
        <v>16200</v>
      </c>
      <c r="E272" s="489">
        <v>15207</v>
      </c>
    </row>
    <row r="273" spans="1:5" ht="25.5">
      <c r="A273" s="191" t="s">
        <v>593</v>
      </c>
      <c r="B273" s="248" t="s">
        <v>14</v>
      </c>
      <c r="C273" s="159"/>
      <c r="D273" s="483">
        <f>D274</f>
        <v>25157427</v>
      </c>
      <c r="E273" s="483">
        <f>E274</f>
        <v>22926219</v>
      </c>
    </row>
    <row r="274" spans="1:5" ht="25.5">
      <c r="A274" s="12" t="s">
        <v>603</v>
      </c>
      <c r="B274" s="186" t="s">
        <v>16</v>
      </c>
      <c r="C274" s="182"/>
      <c r="D274" s="484">
        <f>D275+D277+D280+D284+D292+D286+D288+D290</f>
        <v>25157427</v>
      </c>
      <c r="E274" s="484">
        <f>E275+E277+E280+E284+E292+E286+E288+E290</f>
        <v>22926219</v>
      </c>
    </row>
    <row r="275" spans="1:5" ht="38.25">
      <c r="A275" s="27" t="s">
        <v>731</v>
      </c>
      <c r="B275" s="183" t="s">
        <v>43</v>
      </c>
      <c r="C275" s="182"/>
      <c r="D275" s="484">
        <f>D276</f>
        <v>1084220</v>
      </c>
      <c r="E275" s="484">
        <f>E276</f>
        <v>1084220</v>
      </c>
    </row>
    <row r="276" spans="1:5" ht="25.5">
      <c r="A276" s="13" t="s">
        <v>89</v>
      </c>
      <c r="B276" s="183" t="s">
        <v>43</v>
      </c>
      <c r="C276" s="182">
        <v>200</v>
      </c>
      <c r="D276" s="485">
        <v>1084220</v>
      </c>
      <c r="E276" s="485">
        <v>1084220</v>
      </c>
    </row>
    <row r="277" spans="1:5" ht="63.75">
      <c r="A277" s="27" t="s">
        <v>730</v>
      </c>
      <c r="B277" s="183" t="s">
        <v>44</v>
      </c>
      <c r="C277" s="183"/>
      <c r="D277" s="484">
        <f>D278+D279</f>
        <v>167350</v>
      </c>
      <c r="E277" s="484">
        <f>E278+E279</f>
        <v>167350</v>
      </c>
    </row>
    <row r="278" spans="1:5" ht="63.75">
      <c r="A278" s="13" t="s">
        <v>698</v>
      </c>
      <c r="B278" s="183" t="s">
        <v>44</v>
      </c>
      <c r="C278" s="183">
        <v>100</v>
      </c>
      <c r="D278" s="485">
        <v>124992</v>
      </c>
      <c r="E278" s="485">
        <v>124992</v>
      </c>
    </row>
    <row r="279" spans="1:5" ht="25.5">
      <c r="A279" s="13" t="s">
        <v>89</v>
      </c>
      <c r="B279" s="183" t="s">
        <v>44</v>
      </c>
      <c r="C279" s="183">
        <v>200</v>
      </c>
      <c r="D279" s="485">
        <v>42358</v>
      </c>
      <c r="E279" s="485">
        <v>42358</v>
      </c>
    </row>
    <row r="280" spans="1:5" ht="25.5">
      <c r="A280" s="185" t="s">
        <v>468</v>
      </c>
      <c r="B280" s="183" t="s">
        <v>17</v>
      </c>
      <c r="C280" s="196" t="s">
        <v>85</v>
      </c>
      <c r="D280" s="484">
        <f>SUM(D281:D283)</f>
        <v>22740334</v>
      </c>
      <c r="E280" s="484">
        <f>SUM(E281:E283)</f>
        <v>21346108</v>
      </c>
    </row>
    <row r="281" spans="1:5" ht="63.75">
      <c r="A281" s="13" t="s">
        <v>698</v>
      </c>
      <c r="B281" s="183" t="s">
        <v>17</v>
      </c>
      <c r="C281" s="182" t="s">
        <v>565</v>
      </c>
      <c r="D281" s="485">
        <v>21759087</v>
      </c>
      <c r="E281" s="485">
        <v>20425022</v>
      </c>
    </row>
    <row r="282" spans="1:5" ht="25.5">
      <c r="A282" s="13" t="s">
        <v>212</v>
      </c>
      <c r="B282" s="183" t="s">
        <v>17</v>
      </c>
      <c r="C282" s="182" t="s">
        <v>72</v>
      </c>
      <c r="D282" s="485">
        <v>934400</v>
      </c>
      <c r="E282" s="485">
        <v>877111</v>
      </c>
    </row>
    <row r="283" spans="1:5" ht="12.75">
      <c r="A283" s="13" t="s">
        <v>75</v>
      </c>
      <c r="B283" s="183" t="s">
        <v>17</v>
      </c>
      <c r="C283" s="182" t="s">
        <v>76</v>
      </c>
      <c r="D283" s="485">
        <v>46847</v>
      </c>
      <c r="E283" s="485">
        <v>43975</v>
      </c>
    </row>
    <row r="284" spans="1:5" ht="25.5" hidden="1">
      <c r="A284" s="185" t="s">
        <v>34</v>
      </c>
      <c r="B284" s="183" t="s">
        <v>325</v>
      </c>
      <c r="C284" s="182"/>
      <c r="D284" s="485">
        <f>D285</f>
        <v>0</v>
      </c>
      <c r="E284" s="485">
        <f>E285</f>
        <v>0</v>
      </c>
    </row>
    <row r="285" spans="1:5" ht="12.75" hidden="1">
      <c r="A285" s="13" t="s">
        <v>75</v>
      </c>
      <c r="B285" s="183" t="s">
        <v>325</v>
      </c>
      <c r="C285" s="182">
        <v>800</v>
      </c>
      <c r="D285" s="485"/>
      <c r="E285" s="485"/>
    </row>
    <row r="286" spans="1:5" ht="36">
      <c r="A286" s="30" t="s">
        <v>94</v>
      </c>
      <c r="B286" s="183" t="s">
        <v>95</v>
      </c>
      <c r="C286" s="182"/>
      <c r="D286" s="484">
        <f>D287</f>
        <v>65000</v>
      </c>
      <c r="E286" s="484">
        <f>E287</f>
        <v>187738</v>
      </c>
    </row>
    <row r="287" spans="1:5" ht="24">
      <c r="A287" s="30" t="s">
        <v>212</v>
      </c>
      <c r="B287" s="183" t="s">
        <v>95</v>
      </c>
      <c r="C287" s="182">
        <v>200</v>
      </c>
      <c r="D287" s="484">
        <f>200000-100000-35000</f>
        <v>65000</v>
      </c>
      <c r="E287" s="484">
        <v>187738</v>
      </c>
    </row>
    <row r="288" spans="1:5" ht="38.25" hidden="1">
      <c r="A288" s="383" t="s">
        <v>858</v>
      </c>
      <c r="B288" s="183" t="s">
        <v>859</v>
      </c>
      <c r="C288" s="182"/>
      <c r="D288" s="484">
        <f>D289</f>
        <v>291157</v>
      </c>
      <c r="E288" s="484">
        <f>E289</f>
        <v>0</v>
      </c>
    </row>
    <row r="289" spans="1:5" ht="24" hidden="1">
      <c r="A289" s="323" t="s">
        <v>212</v>
      </c>
      <c r="B289" s="183" t="s">
        <v>859</v>
      </c>
      <c r="C289" s="182">
        <v>200</v>
      </c>
      <c r="D289" s="484">
        <v>291157</v>
      </c>
      <c r="E289" s="484"/>
    </row>
    <row r="290" spans="1:5" ht="38.25" hidden="1">
      <c r="A290" s="383" t="s">
        <v>858</v>
      </c>
      <c r="B290" s="183" t="s">
        <v>860</v>
      </c>
      <c r="C290" s="182"/>
      <c r="D290" s="484">
        <f>D291</f>
        <v>679366</v>
      </c>
      <c r="E290" s="484">
        <f>E291</f>
        <v>0</v>
      </c>
    </row>
    <row r="291" spans="1:5" ht="24" hidden="1">
      <c r="A291" s="323" t="s">
        <v>212</v>
      </c>
      <c r="B291" s="353" t="s">
        <v>860</v>
      </c>
      <c r="C291" s="119">
        <v>200</v>
      </c>
      <c r="D291" s="485">
        <v>679366</v>
      </c>
      <c r="E291" s="490"/>
    </row>
    <row r="292" spans="1:5" ht="25.5">
      <c r="A292" s="185" t="s">
        <v>438</v>
      </c>
      <c r="B292" s="183" t="s">
        <v>18</v>
      </c>
      <c r="C292" s="196" t="s">
        <v>85</v>
      </c>
      <c r="D292" s="484">
        <f>D293</f>
        <v>130000</v>
      </c>
      <c r="E292" s="484">
        <f>E293</f>
        <v>140803</v>
      </c>
    </row>
    <row r="293" spans="1:5" ht="25.5">
      <c r="A293" s="180" t="s">
        <v>212</v>
      </c>
      <c r="B293" s="179" t="s">
        <v>18</v>
      </c>
      <c r="C293" s="179">
        <v>200</v>
      </c>
      <c r="D293" s="489">
        <v>130000</v>
      </c>
      <c r="E293" s="489">
        <v>140803</v>
      </c>
    </row>
    <row r="294" spans="1:5" ht="25.5">
      <c r="A294" s="191" t="s">
        <v>169</v>
      </c>
      <c r="B294" s="159" t="s">
        <v>662</v>
      </c>
      <c r="C294" s="159" t="s">
        <v>85</v>
      </c>
      <c r="D294" s="483">
        <f aca="true" t="shared" si="12" ref="D294:E296">D295</f>
        <v>100000</v>
      </c>
      <c r="E294" s="483">
        <f t="shared" si="12"/>
        <v>93869</v>
      </c>
    </row>
    <row r="295" spans="1:5" ht="12.75">
      <c r="A295" s="13" t="s">
        <v>509</v>
      </c>
      <c r="B295" s="182" t="s">
        <v>663</v>
      </c>
      <c r="C295" s="182" t="s">
        <v>85</v>
      </c>
      <c r="D295" s="484">
        <f t="shared" si="12"/>
        <v>100000</v>
      </c>
      <c r="E295" s="484">
        <f t="shared" si="12"/>
        <v>93869</v>
      </c>
    </row>
    <row r="296" spans="1:5" ht="12.75">
      <c r="A296" s="185" t="s">
        <v>245</v>
      </c>
      <c r="B296" s="182" t="s">
        <v>206</v>
      </c>
      <c r="C296" s="196" t="s">
        <v>85</v>
      </c>
      <c r="D296" s="484">
        <f t="shared" si="12"/>
        <v>100000</v>
      </c>
      <c r="E296" s="484">
        <f t="shared" si="12"/>
        <v>93869</v>
      </c>
    </row>
    <row r="297" spans="1:5" ht="12.75">
      <c r="A297" s="224" t="s">
        <v>75</v>
      </c>
      <c r="B297" s="301" t="s">
        <v>206</v>
      </c>
      <c r="C297" s="301" t="s">
        <v>76</v>
      </c>
      <c r="D297" s="492">
        <v>100000</v>
      </c>
      <c r="E297" s="492">
        <v>93869</v>
      </c>
    </row>
    <row r="298" spans="1:5" ht="12.75">
      <c r="A298" s="314" t="s">
        <v>727</v>
      </c>
      <c r="B298" s="314"/>
      <c r="C298" s="314"/>
      <c r="D298" s="505">
        <v>4301916</v>
      </c>
      <c r="E298" s="505">
        <f>9468328+353755</f>
        <v>9822083</v>
      </c>
    </row>
  </sheetData>
  <sheetProtection/>
  <mergeCells count="2">
    <mergeCell ref="A3:E3"/>
    <mergeCell ref="A5:E5"/>
  </mergeCells>
  <printOptions/>
  <pageMargins left="0.7874015748031497" right="0.16" top="0.5905511811023623" bottom="0.3937007874015748" header="0.31496062992125984" footer="0.31496062992125984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Kochergin_AV</dc:creator>
  <cp:keywords/>
  <dc:description/>
  <cp:lastModifiedBy>Chesnokova_ON</cp:lastModifiedBy>
  <cp:lastPrinted>2022-12-20T12:02:33Z</cp:lastPrinted>
  <dcterms:created xsi:type="dcterms:W3CDTF">2011-11-14T07:33:47Z</dcterms:created>
  <dcterms:modified xsi:type="dcterms:W3CDTF">2022-12-20T12:21:00Z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