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405" windowWidth="16605" windowHeight="7140" tabRatio="869" activeTab="13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 " sheetId="8" r:id="rId8"/>
    <sheet name="прил9" sheetId="9" r:id="rId9"/>
    <sheet name="прил10 " sheetId="10" r:id="rId10"/>
    <sheet name="прил11" sheetId="11" r:id="rId11"/>
    <sheet name="прил12 " sheetId="12" r:id="rId12"/>
    <sheet name="прил13" sheetId="13" r:id="rId13"/>
    <sheet name="прил14" sheetId="14" r:id="rId14"/>
  </sheets>
  <definedNames>
    <definedName name="Z_61760596_1996_422C_A41D_51592B5AEA63_.wvu.PrintArea" localSheetId="0" hidden="1">'прил 1'!$A$1:$C$22</definedName>
    <definedName name="Z_61760596_1996_422C_A41D_51592B5AEA63_.wvu.PrintArea" localSheetId="1" hidden="1">'прил 2'!$A$1:$C$22</definedName>
    <definedName name="Z_61760596_1996_422C_A41D_51592B5AEA63_.wvu.PrintArea" localSheetId="12" hidden="1">'прил13'!$A$1:$G$21</definedName>
    <definedName name="Z_61760596_1996_422C_A41D_51592B5AEA63_.wvu.PrintArea" localSheetId="13" hidden="1">'прил14'!$A$1:$G$18</definedName>
    <definedName name="Z_772B23D4_7F73_461E_BC32_1D18D8038167_.wvu.PrintArea" localSheetId="0" hidden="1">'прил 1'!$A$1:$C$22</definedName>
    <definedName name="Z_772B23D4_7F73_461E_BC32_1D18D8038167_.wvu.PrintArea" localSheetId="1" hidden="1">'прил 2'!$A$1:$C$22</definedName>
    <definedName name="Z_772B23D4_7F73_461E_BC32_1D18D8038167_.wvu.PrintArea" localSheetId="12" hidden="1">'прил13'!$A$1:$G$21</definedName>
    <definedName name="Z_772B23D4_7F73_461E_BC32_1D18D8038167_.wvu.PrintArea" localSheetId="13" hidden="1">'прил14'!$A$1:$G$18</definedName>
    <definedName name="_xlnm.Print_Titles" localSheetId="2">'прил 3'!$7:$7</definedName>
    <definedName name="_xlnm.Print_Titles" localSheetId="4">'прил 5'!$7:$7</definedName>
    <definedName name="_xlnm.Print_Titles" localSheetId="6">'прил 7'!$8:$8</definedName>
    <definedName name="_xlnm.Print_Titles" localSheetId="7">'прил 8 '!$8:$8</definedName>
    <definedName name="_xlnm.Print_Titles" localSheetId="9">'прил10 '!$8:$8</definedName>
    <definedName name="_xlnm.Print_Titles" localSheetId="8">'прил9'!$8:$8</definedName>
    <definedName name="_xlnm.Print_Area" localSheetId="0">'прил 1'!$A$1:$C$26</definedName>
    <definedName name="_xlnm.Print_Area" localSheetId="2">'прил 3'!$A$1:$C$195</definedName>
    <definedName name="_xlnm.Print_Area" localSheetId="4">'прил 5'!$A$1:$F$454</definedName>
    <definedName name="_xlnm.Print_Area" localSheetId="6">'прил 7'!$A$1:$G$439</definedName>
    <definedName name="_xlnm.Print_Area" localSheetId="7">'прил 8 '!$A$1:$H$374</definedName>
    <definedName name="_xlnm.Print_Area" localSheetId="12">'прил13'!$A$1:$G$21</definedName>
    <definedName name="_xlnm.Print_Area" localSheetId="8">'прил9'!$A$1:$D$347</definedName>
  </definedNames>
  <calcPr fullCalcOnLoad="1"/>
</workbook>
</file>

<file path=xl/sharedStrings.xml><?xml version="1.0" encoding="utf-8"?>
<sst xmlns="http://schemas.openxmlformats.org/spreadsheetml/2006/main" count="9243" uniqueCount="1020">
  <si>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</si>
  <si>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2 02 40000 00 0000 150</t>
  </si>
  <si>
    <t>Иные межбюджетные трансферты</t>
  </si>
  <si>
    <t>2 07 00000 00 0000 000</t>
  </si>
  <si>
    <t>1 14 02042 04 0000 410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</si>
  <si>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</si>
  <si>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</si>
  <si>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</si>
  <si>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</si>
  <si>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</si>
  <si>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</si>
  <si>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</si>
  <si>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</si>
  <si>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</si>
  <si>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</si>
  <si>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</si>
  <si>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</si>
  <si>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</si>
  <si>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</si>
  <si>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</si>
  <si>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</si>
  <si>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</si>
  <si>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</si>
  <si>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</si>
  <si>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</si>
  <si>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</si>
  <si>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</si>
  <si>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</si>
  <si>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</si>
  <si>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</si>
  <si>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</si>
  <si>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</si>
  <si>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</si>
  <si>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Приложение №13</t>
  </si>
  <si>
    <t>Приложение №11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</si>
  <si>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</si>
  <si>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</si>
  <si>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</si>
  <si>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</si>
  <si>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</si>
  <si>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</si>
  <si>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</si>
  <si>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 xml:space="preserve">Молодежная политика </t>
  </si>
  <si>
    <t>Здравоохранение</t>
  </si>
  <si>
    <t>Санитарно-эпидемиологическое благополучие</t>
  </si>
  <si>
    <t>77 2 00 12700</t>
  </si>
  <si>
    <t>77 2 00 12712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</si>
  <si>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</si>
  <si>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"Развитие малого и среднего предпринимательства в городе Щигры Курской области на 2021 - 2024 годы"</t>
  </si>
  <si>
    <t>77 2 00S4001</t>
  </si>
  <si>
    <t>Мероприятия  по реализации проекта "Народный бюджет" Капитальный ремонт сети водопровода от ул. Вишневая до ул. Зеленая в г.Щигры</t>
  </si>
  <si>
    <t>Мероприятия  по реализации проекта "Народный бюджет" Капитальный ремонт напорного коллектора от КНС по ул.Мира до самотечного коллектора по ул. Макарова в г.Щигры</t>
  </si>
  <si>
    <t>77 2 00S4002</t>
  </si>
  <si>
    <t>Мероприятия  по реализации проекта "Народный бюджет" Капитальный ремонт водонапорной башни, расположенной по адресу г.Щигры ул. Слободская</t>
  </si>
  <si>
    <t>77 2 00S4003</t>
  </si>
  <si>
    <t>Реализация проекта "Народный бюджет" в Курской области Капитальный ремонт сети водопровода от ул. Вишневая до ул. Зеленая в г.Щигры</t>
  </si>
  <si>
    <t>77 2 00 14001</t>
  </si>
  <si>
    <t>Реализация проекта "Народный бюджет" в Курской области Капитальный ремонт напорного коллектора от КНС по ул.Мира до самотечного коллектора по ул. Макарова в г.Щигры</t>
  </si>
  <si>
    <t>77 2 00 14002</t>
  </si>
  <si>
    <t>Реализация проекта "Народный бюджет" в Курской области Капитальный ремонт водонапорной башни, расположенной по адресу г.Щигры ул. Слободская</t>
  </si>
  <si>
    <t>77 2 00 14003</t>
  </si>
  <si>
    <t>Обеспечение мероприятий по внедрению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</si>
  <si>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</si>
  <si>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</si>
  <si>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</si>
  <si>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</si>
  <si>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</si>
  <si>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</si>
  <si>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1 17 05040 04 0000 180</t>
  </si>
  <si>
    <t>Прочие неналоговые доходы бюджетов городских округов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</si>
  <si>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</si>
  <si>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</si>
  <si>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</si>
  <si>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</si>
  <si>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</si>
  <si>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</si>
  <si>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</si>
  <si>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</si>
  <si>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</si>
  <si>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</si>
  <si>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</si>
  <si>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</si>
  <si>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</si>
  <si>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</si>
  <si>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</si>
  <si>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</si>
  <si>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</si>
  <si>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</si>
  <si>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</si>
  <si>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</si>
  <si>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</si>
  <si>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</si>
  <si>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</si>
  <si>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</si>
  <si>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Подпрограмма "Организация деятельности в области обращения с отходами, в том числе с твердыми коммунальными отходами"</t>
  </si>
  <si>
    <t>Другие вопросы в области охраны окружающей среды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</si>
  <si>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</si>
  <si>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</si>
  <si>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15 0 01 С1405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</si>
  <si>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</si>
  <si>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</si>
  <si>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</si>
  <si>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</si>
  <si>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</si>
  <si>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</si>
  <si>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01 03 00 00 00 0000 000</t>
  </si>
  <si>
    <t>ГРБС</t>
  </si>
  <si>
    <t>Региональный проект "Успех каждого ребенка"</t>
  </si>
  <si>
    <t>Региональный проект "Цифровая образовательная среда"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</si>
  <si>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</si>
  <si>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</si>
  <si>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</si>
  <si>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</si>
  <si>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</si>
  <si>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</si>
  <si>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</si>
  <si>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</si>
  <si>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</si>
  <si>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</si>
  <si>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</si>
  <si>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</si>
  <si>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</si>
  <si>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</si>
  <si>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</si>
  <si>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</si>
  <si>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</si>
  <si>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</si>
  <si>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</si>
  <si>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</si>
  <si>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</si>
  <si>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</si>
  <si>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</si>
  <si>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</si>
  <si>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</si>
  <si>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</si>
  <si>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</si>
  <si>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</si>
  <si>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</si>
  <si>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</si>
  <si>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</si>
  <si>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</si>
  <si>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</si>
  <si>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</si>
  <si>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</si>
  <si>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2 02 25169 00 0000 150</t>
  </si>
  <si>
    <t>2 02 25169 04 0000 150</t>
  </si>
  <si>
    <t>2 02 25210 00 0000 150</t>
  </si>
  <si>
    <t>2 02 25210 04 0000 150</t>
  </si>
  <si>
    <t>11 1 02 13390</t>
  </si>
  <si>
    <t>Обеспечение мероприятий, связанных с профилактикой и устранением последствий распространения коронавирусной инфекции</t>
  </si>
  <si>
    <t>03 2 01 С2002</t>
  </si>
  <si>
    <t>Закупка товаров, работ и  услуг для обеспечения государственных (муниципальных) нужд</t>
  </si>
  <si>
    <t>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</si>
  <si>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</si>
  <si>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Обеспечение мероприятий, связанных с профилактикой и устранением последствий распространения короновирусной инфекции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</si>
  <si>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</si>
  <si>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
2023 год</t>
  </si>
  <si>
    <t>Приложение №1</t>
  </si>
  <si>
    <t>1 08 07150 01 0000 110</t>
  </si>
  <si>
    <t>Государственная пошлина за выдачу разрешения на установку рекламной конструкции</t>
  </si>
  <si>
    <t>2. Погашение внутренних заимствований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</si>
  <si>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</si>
  <si>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</si>
  <si>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</si>
  <si>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</si>
  <si>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</si>
  <si>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</si>
  <si>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</si>
  <si>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</si>
  <si>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</si>
  <si>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</si>
  <si>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</si>
  <si>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</si>
  <si>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</si>
  <si>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</si>
  <si>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</si>
  <si>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</si>
  <si>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</si>
  <si>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</si>
  <si>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</si>
  <si>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действия  гарантии</t>
  </si>
  <si>
    <t>7</t>
  </si>
  <si>
    <t>-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</si>
  <si>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</si>
  <si>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рублей</t>
  </si>
  <si>
    <t>За счет источников финансирования дефицита бюджета</t>
  </si>
  <si>
    <t>За счет расходов бюджета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</si>
  <si>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</si>
  <si>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</si>
  <si>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</si>
  <si>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</si>
  <si>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</si>
  <si>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</si>
  <si>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Погашение бюджетных кредитов, полученных из других бюджетов бюджетной системы Российской Федерации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</si>
  <si>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</si>
  <si>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</si>
  <si>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</si>
  <si>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</si>
  <si>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</si>
  <si>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</si>
  <si>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</si>
  <si>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</si>
  <si>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</si>
  <si>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</si>
  <si>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</si>
  <si>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</si>
  <si>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</si>
  <si>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</si>
  <si>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</si>
  <si>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</si>
  <si>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</si>
  <si>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</si>
  <si>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</si>
  <si>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</si>
  <si>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Обеспечение доступности качественного образования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</si>
  <si>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</si>
  <si>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</si>
  <si>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</si>
  <si>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</si>
  <si>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</si>
  <si>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07 2 01 C1421</t>
  </si>
  <si>
    <t>Капитальные вложения в объекты государственной (муниципальной) собственности</t>
  </si>
  <si>
    <t>78 1 00 С1403</t>
  </si>
  <si>
    <t>02 0 00 00000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</si>
  <si>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</si>
  <si>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</si>
  <si>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</si>
  <si>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Субсидия из областного бюджета бюджетам городских округов на реализацию проекта "Народный бюджет"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</si>
  <si>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</si>
  <si>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</si>
  <si>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</si>
  <si>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</si>
  <si>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</si>
  <si>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</si>
  <si>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</si>
  <si>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</si>
  <si>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</si>
  <si>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</si>
  <si>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</si>
  <si>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</si>
  <si>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</si>
  <si>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</si>
  <si>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</si>
  <si>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</si>
  <si>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</si>
  <si>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</si>
  <si>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</si>
  <si>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</si>
  <si>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</si>
  <si>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</si>
  <si>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</si>
  <si>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</si>
  <si>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</si>
  <si>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</si>
  <si>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</si>
  <si>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</si>
  <si>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</si>
  <si>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</si>
  <si>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</si>
  <si>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</si>
  <si>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</si>
  <si>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</si>
  <si>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</si>
  <si>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</si>
  <si>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</si>
  <si>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</si>
  <si>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</si>
  <si>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</si>
  <si>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</si>
  <si>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Муниципальная программа г.Щигры Курской области"Развитие образования в г. Щигры Курской области" на 2016-2020 годы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</si>
  <si>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</si>
  <si>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</si>
  <si>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</si>
  <si>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</si>
  <si>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</si>
  <si>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</si>
  <si>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</si>
  <si>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</si>
  <si>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</si>
  <si>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</si>
  <si>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 xml:space="preserve">  </t>
  </si>
  <si>
    <t>08 1 01 S3540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</si>
  <si>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</si>
  <si>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</si>
  <si>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</si>
  <si>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</si>
  <si>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</si>
  <si>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</si>
  <si>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</si>
  <si>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</si>
  <si>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</si>
  <si>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</si>
  <si>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07 2 F3 6748S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</si>
  <si>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</si>
  <si>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</si>
  <si>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</si>
  <si>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</si>
  <si>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</si>
  <si>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</si>
  <si>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</si>
  <si>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</si>
  <si>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</si>
  <si>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</si>
  <si>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</si>
  <si>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</si>
  <si>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</si>
  <si>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</si>
  <si>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</si>
  <si>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</si>
  <si>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</si>
  <si>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</si>
  <si>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</si>
  <si>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</si>
  <si>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</si>
  <si>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</si>
  <si>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</si>
  <si>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</si>
  <si>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</si>
  <si>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</si>
  <si>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</si>
  <si>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</si>
  <si>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</si>
  <si>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</si>
  <si>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</si>
  <si>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</si>
  <si>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</si>
  <si>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</si>
  <si>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Охрана окружающей среды</t>
  </si>
  <si>
    <t>07 4 00 00000</t>
  </si>
  <si>
    <t>Основное мероприятие" Реализация проектов в области обращения с отходами"</t>
  </si>
  <si>
    <t>07 4 01 С1457</t>
  </si>
  <si>
    <t>03 2 E1 00000</t>
  </si>
  <si>
    <t>03 2 E1 51690</t>
  </si>
  <si>
    <t>02 1 02 13221</t>
  </si>
  <si>
    <t>Основное мероприятие "Финансовая и имущественная поддержка субъектов малого и среднего предпринимательства"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</si>
  <si>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</si>
  <si>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</si>
  <si>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</si>
  <si>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</si>
  <si>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</si>
  <si>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</si>
  <si>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</si>
  <si>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</si>
  <si>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</si>
  <si>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</si>
  <si>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</si>
  <si>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</si>
  <si>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</si>
  <si>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</si>
  <si>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</si>
  <si>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</si>
  <si>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</si>
  <si>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</si>
  <si>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</si>
  <si>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03 2 E4 52101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</si>
  <si>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</si>
  <si>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</si>
  <si>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</si>
  <si>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</si>
  <si>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</si>
  <si>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</si>
  <si>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</si>
  <si>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</si>
  <si>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</si>
  <si>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</si>
  <si>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</si>
  <si>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</si>
  <si>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</si>
  <si>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1. Привлечение внутренних заимствований</t>
  </si>
  <si>
    <t>1.</t>
  </si>
  <si>
    <t>Муниципальные ценные бумаги</t>
  </si>
  <si>
    <t>2.</t>
  </si>
  <si>
    <t>3.</t>
  </si>
  <si>
    <t>Кредиты кредитных организаций</t>
  </si>
  <si>
    <t>Итого</t>
  </si>
  <si>
    <t>1 17 00000 00 0000 000</t>
  </si>
  <si>
    <t>ПРОЧИЕ НЕНАЛОГОВЫЕ ДОХОДЫ</t>
  </si>
  <si>
    <t>Объем привлечения средств в 2022 году (рублей)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</si>
  <si>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</si>
  <si>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</si>
  <si>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</si>
  <si>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</si>
  <si>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</si>
  <si>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</si>
  <si>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</si>
  <si>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</si>
  <si>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</si>
  <si>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</si>
  <si>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</si>
  <si>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</si>
  <si>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</si>
  <si>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</si>
  <si>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</si>
  <si>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</si>
  <si>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</si>
  <si>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03 2 04 С1401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</si>
  <si>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</si>
  <si>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</si>
  <si>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77 2 00 14000</t>
  </si>
  <si>
    <t>77 2 00S4000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</si>
  <si>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</si>
  <si>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</si>
  <si>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1 03 02241 01 0000 110</t>
  </si>
  <si>
    <t>1 03 02251 01 0000 110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</si>
  <si>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</si>
  <si>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</si>
  <si>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</si>
  <si>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</si>
  <si>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</si>
  <si>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</si>
  <si>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</si>
  <si>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</si>
  <si>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2 02 39999 00 0000 150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</si>
  <si>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</si>
  <si>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</si>
  <si>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</si>
  <si>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</si>
  <si>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</si>
  <si>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</si>
  <si>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</si>
  <si>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</si>
  <si>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</si>
  <si>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</si>
  <si>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</si>
  <si>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</si>
  <si>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</si>
  <si>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</si>
  <si>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</si>
  <si>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</si>
  <si>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</si>
  <si>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</si>
  <si>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</si>
  <si>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</si>
  <si>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</si>
  <si>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</si>
  <si>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</si>
  <si>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</si>
  <si>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</si>
  <si>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</si>
  <si>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</si>
  <si>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</si>
  <si>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</si>
  <si>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Приложение №4</t>
  </si>
  <si>
    <t>Приложение №10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</si>
  <si>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</si>
  <si>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</si>
  <si>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</si>
  <si>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</si>
  <si>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</si>
  <si>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</si>
  <si>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</si>
  <si>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</si>
  <si>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</si>
  <si>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</si>
  <si>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</si>
  <si>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</si>
  <si>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</si>
  <si>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</si>
  <si>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</si>
  <si>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</si>
  <si>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</si>
  <si>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</si>
  <si>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</si>
  <si>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</si>
  <si>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</si>
  <si>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</si>
  <si>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</si>
  <si>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03 4 01 00000</t>
  </si>
  <si>
    <t>03 4 01 С1421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</si>
  <si>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</si>
  <si>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</si>
  <si>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</si>
  <si>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</si>
  <si>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</si>
  <si>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</si>
  <si>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</si>
  <si>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</si>
  <si>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</si>
  <si>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</si>
  <si>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</si>
  <si>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</si>
  <si>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</si>
  <si>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</si>
  <si>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</si>
  <si>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</si>
  <si>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</si>
  <si>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</si>
  <si>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</si>
  <si>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</si>
  <si>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</si>
  <si>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</si>
  <si>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</si>
  <si>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</si>
  <si>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</si>
  <si>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</si>
  <si>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</si>
  <si>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</si>
  <si>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</si>
  <si>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2 02 35302 04 0000 150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</si>
  <si>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</si>
  <si>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 xml:space="preserve">на ежемесячную выплату на детей в возрасте от трех до семи лет включительно, за счет средств областного бюджета 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</si>
  <si>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</si>
  <si>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</si>
  <si>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</si>
  <si>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</si>
  <si>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</si>
  <si>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</si>
  <si>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</si>
  <si>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</si>
  <si>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</si>
  <si>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Ежемесячная выплата на детей в возрасте от трех до семи лет включительно</t>
  </si>
  <si>
    <t>02 3 01 R3020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</si>
  <si>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</si>
  <si>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</si>
  <si>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</si>
  <si>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</si>
  <si>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</si>
  <si>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</si>
  <si>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</si>
  <si>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</si>
  <si>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</si>
  <si>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</si>
  <si>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</si>
  <si>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</si>
  <si>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</si>
  <si>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</si>
  <si>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</si>
  <si>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</si>
  <si>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</si>
  <si>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</si>
  <si>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</si>
  <si>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</si>
  <si>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</si>
  <si>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</si>
  <si>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</si>
  <si>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</si>
  <si>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</si>
  <si>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Приложение №9</t>
  </si>
  <si>
    <t>Жилищно-коммунальное хозяйство</t>
  </si>
  <si>
    <t xml:space="preserve">Сумма
</t>
  </si>
  <si>
    <t>ДОХОДЫ, ВСЕГО</t>
  </si>
  <si>
    <t>Приложение №12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</si>
  <si>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</si>
  <si>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</si>
  <si>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</si>
  <si>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</si>
  <si>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</si>
  <si>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</si>
  <si>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</si>
  <si>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</si>
  <si>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</si>
  <si>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</si>
  <si>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</si>
  <si>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</si>
  <si>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</si>
  <si>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</si>
  <si>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</si>
  <si>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</si>
  <si>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</si>
  <si>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</si>
  <si>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</si>
  <si>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</si>
  <si>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</si>
  <si>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</si>
  <si>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</si>
  <si>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</si>
  <si>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</si>
  <si>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</si>
  <si>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</si>
  <si>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№8</t>
  </si>
  <si>
    <t>2 02 20000 00 0000 150</t>
  </si>
  <si>
    <t>2 02 29999 04 0000 150</t>
  </si>
  <si>
    <t>Доходы от оказания платных услуг и компенсации затрат государства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</si>
  <si>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</si>
  <si>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</si>
  <si>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</si>
  <si>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</si>
  <si>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</si>
  <si>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</si>
  <si>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</si>
  <si>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</si>
  <si>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</si>
  <si>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</si>
  <si>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</si>
  <si>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</si>
  <si>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</si>
  <si>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</si>
  <si>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</si>
  <si>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</si>
  <si>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</si>
  <si>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</si>
  <si>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</si>
  <si>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</si>
  <si>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</si>
  <si>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</si>
  <si>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</si>
  <si>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</si>
  <si>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Сумма на 2023 год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</si>
  <si>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</si>
  <si>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</si>
  <si>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1 11 05070 00 0000 120</t>
  </si>
  <si>
    <t>Приложение №14</t>
  </si>
  <si>
    <t>Направление (цель) гарантирования</t>
  </si>
  <si>
    <t>Объем гарантий, рублей</t>
  </si>
  <si>
    <t>Объем бюджетных ассигнований на исполнение гарантий по возможным гарантийным случаям в 2023 году,  рублей</t>
  </si>
  <si>
    <t>Объем привлечения средств в 2023 году (рублей)</t>
  </si>
  <si>
    <t>Объем погашения средств в 2023 году (рублей)</t>
  </si>
  <si>
    <t>2023г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</si>
  <si>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</si>
  <si>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</si>
  <si>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</si>
  <si>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</si>
  <si>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</si>
  <si>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</si>
  <si>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</si>
  <si>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</si>
  <si>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</si>
  <si>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</si>
  <si>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</si>
  <si>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</si>
  <si>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</si>
  <si>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</si>
  <si>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</si>
  <si>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</si>
  <si>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</si>
  <si>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</si>
  <si>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</si>
  <si>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</si>
  <si>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</si>
  <si>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</si>
  <si>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</si>
  <si>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</si>
  <si>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</si>
  <si>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</si>
  <si>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Организация отдыха детей в каникулярное время</t>
  </si>
  <si>
    <t>08 1 01 13540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</si>
  <si>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</si>
  <si>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</si>
  <si>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</si>
  <si>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</si>
  <si>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</si>
  <si>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</si>
  <si>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</si>
  <si>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</si>
  <si>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</si>
  <si>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</si>
  <si>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</si>
  <si>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</si>
  <si>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</si>
  <si>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</si>
  <si>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</si>
  <si>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</si>
  <si>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</si>
  <si>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</si>
  <si>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</si>
  <si>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</si>
  <si>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</si>
  <si>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</si>
  <si>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</si>
  <si>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</si>
  <si>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</si>
  <si>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</si>
  <si>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</si>
  <si>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</si>
  <si>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</si>
  <si>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</si>
  <si>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</si>
  <si>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</si>
  <si>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</si>
  <si>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</si>
  <si>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</si>
  <si>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</si>
  <si>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</si>
  <si>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1 16 10123 01 0000 140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</si>
  <si>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</si>
  <si>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</si>
  <si>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</si>
  <si>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</si>
  <si>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1 16 10129 01 0000 140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</si>
  <si>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</si>
  <si>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</si>
  <si>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</si>
  <si>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№ п/п</t>
  </si>
  <si>
    <t>Виды долговых обязательств</t>
  </si>
  <si>
    <t xml:space="preserve">Предельный срок погашения  долговых обязательств                </t>
  </si>
  <si>
    <t>Бюджетные кредиты из других бюджетов бюджетной системы Российской Федерации всего, в том числе: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</si>
  <si>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</si>
  <si>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</si>
  <si>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</si>
  <si>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</si>
  <si>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</si>
  <si>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</si>
  <si>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</si>
  <si>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</si>
  <si>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</si>
  <si>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</si>
  <si>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</si>
  <si>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</si>
  <si>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</si>
  <si>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</si>
  <si>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</si>
  <si>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</si>
  <si>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</si>
  <si>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03 3 E2 00000</t>
  </si>
  <si>
    <t>03 3 E2 54910</t>
  </si>
  <si>
    <t>07 2 F3 67483</t>
  </si>
  <si>
    <t>07 2 F3 67484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</si>
  <si>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</si>
  <si>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</si>
  <si>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Региональный проект "Формирование комфортной городской среды"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</si>
  <si>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</si>
  <si>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на 2019-2023 годы"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</si>
  <si>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 на 2019-2023годы"</t>
  </si>
  <si>
    <t>Муниципальная программа "Профилактика наркомании и медико-социальная реабилитация больных наркоманией в городе Щигры на 2018-2023 годы"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</si>
  <si>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 на 2018-2023 годы"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</si>
  <si>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</si>
  <si>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</si>
  <si>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</si>
  <si>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</si>
  <si>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</si>
  <si>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</si>
  <si>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</si>
  <si>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</si>
  <si>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</si>
  <si>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</si>
  <si>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</si>
  <si>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</si>
  <si>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</si>
  <si>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</si>
  <si>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</si>
  <si>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</si>
  <si>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</si>
  <si>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</si>
  <si>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</si>
  <si>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</si>
  <si>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</si>
  <si>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</si>
  <si>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</si>
  <si>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</si>
  <si>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</si>
  <si>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</si>
  <si>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</si>
  <si>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</si>
  <si>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</si>
  <si>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</si>
  <si>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</si>
  <si>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</si>
  <si>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</si>
  <si>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Реализация проекта "Народный бюджет" в Курской области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</si>
  <si>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</si>
  <si>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</si>
  <si>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</si>
  <si>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</si>
  <si>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</si>
  <si>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</si>
  <si>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</si>
  <si>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</si>
  <si>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</si>
  <si>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</si>
  <si>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</si>
  <si>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</si>
  <si>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</si>
  <si>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</si>
  <si>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</si>
  <si>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Условно-утвержденные расходы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</si>
  <si>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</si>
  <si>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</si>
  <si>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</si>
  <si>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</si>
  <si>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</si>
  <si>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</si>
  <si>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</si>
  <si>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</si>
  <si>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</si>
  <si>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</si>
  <si>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Прочие безвозмездные поступления в бюджеты городских округов</t>
  </si>
  <si>
    <t>2 07 04050 04 0000 180</t>
  </si>
  <si>
    <t>2 07 04000 04 0000 150</t>
  </si>
  <si>
    <t>ПРОЧИЕ БЕЗВОЗМЕЗДНЫЕ ПОСТУПЛЕНИЯ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</si>
  <si>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</si>
  <si>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</si>
  <si>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</si>
  <si>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</si>
  <si>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Субсидии местным бюджетам на озеленение территорий населенных пунктов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</si>
  <si>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</si>
  <si>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</si>
  <si>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</si>
  <si>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</si>
  <si>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</si>
  <si>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</si>
  <si>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</si>
  <si>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</si>
  <si>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</si>
  <si>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</si>
  <si>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</si>
  <si>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</si>
  <si>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</si>
  <si>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</si>
  <si>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</si>
  <si>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</si>
  <si>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</si>
  <si>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</si>
  <si>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</si>
  <si>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Доходы от оказания платных услуг (работ)</t>
  </si>
  <si>
    <t>1 13 01000 00 0000 130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</si>
  <si>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</si>
  <si>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</si>
  <si>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</si>
  <si>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</si>
  <si>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01 3 01 L4670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</si>
  <si>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</si>
  <si>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07 3 02 S3290</t>
  </si>
  <si>
    <t>Обеспечение мероприятий по озеленению</t>
  </si>
  <si>
    <t>07 3 02 13290</t>
  </si>
  <si>
    <t>Озеленение</t>
  </si>
  <si>
    <t>77 2 00 54690</t>
  </si>
  <si>
    <t>Проведение Всероссийской  переписи населения 2020 года</t>
  </si>
  <si>
    <t xml:space="preserve"> 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</si>
  <si>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</si>
  <si>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</si>
  <si>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</si>
  <si>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</si>
  <si>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</si>
  <si>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</si>
  <si>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</si>
  <si>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</si>
  <si>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Прочие доходы от оказания платных услуг (работ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</si>
  <si>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</si>
  <si>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</si>
  <si>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</si>
  <si>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</si>
  <si>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имуществу,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</si>
  <si>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</si>
  <si>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</si>
  <si>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</si>
  <si>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</si>
  <si>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</si>
  <si>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</si>
  <si>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</si>
  <si>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</si>
  <si>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</si>
  <si>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</si>
  <si>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</si>
  <si>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</si>
  <si>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</si>
  <si>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</si>
  <si>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</si>
  <si>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</si>
  <si>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</si>
  <si>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</si>
  <si>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</si>
  <si>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</si>
  <si>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1 17 05000 00 0000 180</t>
  </si>
  <si>
    <t>Прочие неналоговые доходы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</si>
  <si>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</si>
  <si>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</si>
  <si>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</si>
  <si>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</si>
  <si>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</si>
  <si>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</si>
  <si>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</si>
  <si>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</si>
  <si>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</si>
  <si>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</si>
  <si>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</si>
  <si>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</si>
  <si>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</si>
  <si>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</si>
  <si>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</si>
  <si>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Обеспечение первичных мер пожарной безопасности в границах населенных пунктов муниципальных образований</t>
  </si>
  <si>
    <t>13 2 01 С1460</t>
  </si>
  <si>
    <t>Основное мероприятие "Благоустройство территории общего пользования города Щигры Курской области"</t>
  </si>
  <si>
    <t>21 0 02 00000</t>
  </si>
  <si>
    <t>Обеспечение реализации программ формирования современной городской среды</t>
  </si>
  <si>
    <t>21 0 02 С5550</t>
  </si>
  <si>
    <t>03 2 E4 С1401</t>
  </si>
  <si>
    <t>ПРОГНОЗИРУЕМОЕ ПОСТУПЛЕНИЕ  ДОХОДОВ В БЮДЖЕТ ГОРОДА ЩИГРЫ В 2022 ГОДУ</t>
  </si>
  <si>
    <t>2 02 35082 00 0000 150</t>
  </si>
  <si>
    <t>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</si>
  <si>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</si>
  <si>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</si>
  <si>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
2024 год</t>
  </si>
  <si>
    <t>Основное мероприятие "Создание на территории города Щигры комплексной системы обеспечения безопасности жизнедеятельности населения АПК «Безопасный город» "</t>
  </si>
  <si>
    <t>13 1 00 00000</t>
  </si>
  <si>
    <t>13 1 02 00000</t>
  </si>
  <si>
    <t>13 1 02 С1435</t>
  </si>
  <si>
    <t>Транспорт</t>
  </si>
  <si>
    <t>Подпрограмма "Развитие пассажирских перевозок в городе Щигры Курской области"</t>
  </si>
  <si>
    <t>Основное мероприятие "Содействие повышению доступности автомобильных перевозок населению города Щигры Курской области"</t>
  </si>
  <si>
    <t>Мероприятия по другим видам транспорта</t>
  </si>
  <si>
    <t>1100000000</t>
  </si>
  <si>
    <t>1130000000</t>
  </si>
  <si>
    <t>1130100000</t>
  </si>
  <si>
    <t>11301С1426</t>
  </si>
  <si>
    <t>ИСТОЧНИКИ  ФИНАНСИРОВАНИЯ ДЕФИЦИТА БЮДЖЕТА ГОРОДА ЩИГРЫ НА 2022 ГОД</t>
  </si>
  <si>
    <t>ПРОГНОЗИРУЕМОЕ ПОСТУПЛЕНИЕ  ДОХОДОВ В БЮДЖЕТ ГОРОДА ЩИГРЫ В 2023-2024 ГОДАХ</t>
  </si>
  <si>
    <t>Программа муниципальных внутренних заимствований муниципального образования
"город Щигры" на 2022 год</t>
  </si>
  <si>
    <t>Объем погашения средств
в 2022 г.(рублей)</t>
  </si>
  <si>
    <t>Программа муниципальных гарантий города Щигры на 2022 год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</si>
  <si>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2022 году</t>
  </si>
  <si>
    <t>Программа муниципальных гарантий города Щигры на 2023-2024 год</t>
  </si>
  <si>
    <t>1.1.Перечень подлежащих предоставлению муниципальных гарантий города Щигры в 2023-2024 годах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</si>
  <si>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2023-2024 годах</t>
  </si>
  <si>
    <t>Объем бюджетных ассигнований на исполнение гарантий по возможным гарантийным случаям в 2024 году,  рублей</t>
  </si>
  <si>
    <t>2024г</t>
  </si>
  <si>
    <t>Мероприятия по внесению в ЕГРН сведений о границах муниципальных образований и границах населенных пунктов</t>
  </si>
  <si>
    <t>77 2 00 S3600</t>
  </si>
  <si>
    <t>77 2 00 13600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</si>
  <si>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2023-2024 год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</si>
  <si>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</si>
  <si>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ИСТОЧНИКИ  ФИНАНСИРОВАНИЯ ДЕФИЦИТА БЮДЖЕТА ГОРОДА ЩИГРЫ НА 2023-2024  ГОДЫ</t>
  </si>
  <si>
    <t>Программа муниципальных внутренних заимствований
муниципального образования "город Щигры" на плановый период 2023 и 2024 годов</t>
  </si>
  <si>
    <t>Объем погашения средств в 2024 году (рублей)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</si>
  <si>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2022 год</t>
  </si>
  <si>
    <t>1.1.Перечень подлежащих предоставлению муниципальных гарантий города Щигры в 2022 году</t>
  </si>
  <si>
    <t>Приложение № 6</t>
  </si>
  <si>
    <t>02 3 04 00000</t>
  </si>
  <si>
    <t>02 3 04 R0821</t>
  </si>
  <si>
    <t>Ведомственная структура расходов бюджета города Щигры на 2022 год</t>
  </si>
  <si>
    <t>11 3 00 00000</t>
  </si>
  <si>
    <t>11 3 01 00000</t>
  </si>
  <si>
    <t>11 3 01 С1426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</si>
  <si>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2022 год</t>
  </si>
  <si>
    <t>Ведомственная структура расходов бюджета города Щигры на 2023-2024 год</t>
  </si>
  <si>
    <t>Сумма на 2024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</si>
  <si>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2023-2024 год</t>
  </si>
  <si>
    <t>Субсидии местным бюджетам на мероприятия по внесению в ЕГРН сведений о границах муниципальных образований и границах населенных пунктов</t>
  </si>
  <si>
    <t>13 1 01 С1401</t>
  </si>
  <si>
    <t>Основное мероприятие "Обеспечение эффективного повседневного функционирования системы гражданской обороны, защиты населения и территории от чрезвычайных ситуаций и обеспечения безопасности людей на водных объектах"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</si>
  <si>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</si>
  <si>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"Повышение степени пожарной безопасности"</t>
  </si>
  <si>
    <t>02 3 04 0000</t>
  </si>
  <si>
    <t>13 1 01 00000</t>
  </si>
  <si>
    <t xml:space="preserve">Основное мероприятие  "Улучшение демографической ситуации, совершенствование социальной поддержки семьи и детей" </t>
  </si>
  <si>
    <t>Объем привлечения средств в 2024 году (рублей)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</si>
  <si>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</si>
  <si>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</si>
  <si>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</si>
  <si>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</si>
  <si>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1 16 07000 00 0000 140</t>
  </si>
  <si>
    <t>от 20.12.2021 №272-6-РД</t>
  </si>
  <si>
    <t>от 20.12.2021 № 272-6-РД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</si>
  <si>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</si>
  <si>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проведения выборов и референдумов</t>
  </si>
  <si>
    <t>7700000000</t>
  </si>
  <si>
    <t>Организация и проведение выборов и референдумов</t>
  </si>
  <si>
    <t>7730000000</t>
  </si>
  <si>
    <t>Подготовка и проведение выборов</t>
  </si>
  <si>
    <t>77300С1441</t>
  </si>
  <si>
    <t>Основное мероприятие "Финансовая поддержка субъектов малого и среднего предпринимательства"</t>
  </si>
  <si>
    <t>Коммунальное хозяйство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</si>
  <si>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</si>
  <si>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</si>
  <si>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Основное мероприятие «Реализация мероприятий в области коммунального хозяйства»</t>
  </si>
  <si>
    <t>07 3 03 00000</t>
  </si>
  <si>
    <t>Мероприятия в области коммунального хозяйства</t>
  </si>
  <si>
    <t>07 3 03 С1431</t>
  </si>
  <si>
    <t>03 2 03 53030</t>
  </si>
  <si>
    <t>Оснвное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</si>
  <si>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03 2 05 00000</t>
  </si>
  <si>
    <t>Реализация мероприятий по модернизации школьных систем образования за счет средств местного бюджета</t>
  </si>
  <si>
    <t>03 2 05 S7501</t>
  </si>
  <si>
    <t>Основное мероприятие "Обеспечение фукнционирования модели персонифицированного финансирования дополнительного образования детей"</t>
  </si>
  <si>
    <t>03 3 02 00000</t>
  </si>
  <si>
    <t>03 3 02 С1453</t>
  </si>
  <si>
    <t>Пенсионное обеспечение</t>
  </si>
  <si>
    <t>Основное мероприятие "Выплата пенсии за выслугу лет и доплат к пенсиям муниципальным служащим"</t>
  </si>
  <si>
    <t>02 2 05 00000</t>
  </si>
  <si>
    <t>Выплата пенсий за выслугу лет и доплат к пенсиям муниципальных служащих</t>
  </si>
  <si>
    <t>02 2 05 С1445</t>
  </si>
  <si>
    <t>77 3 00 00000</t>
  </si>
  <si>
    <t>77 3 00 С1441</t>
  </si>
  <si>
    <t>декабрь 2025 года</t>
  </si>
  <si>
    <t>декабрь 2026 года</t>
  </si>
  <si>
    <t>декабрь 2027 года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</si>
  <si>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</si>
  <si>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</si>
  <si>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</si>
  <si>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</si>
  <si>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</si>
  <si>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</si>
  <si>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</si>
  <si>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</si>
  <si>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</si>
  <si>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</si>
  <si>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</si>
  <si>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</si>
  <si>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2 18 04010 04 0000 150</t>
  </si>
  <si>
    <t>ДОХОДЫ БЮДЖЕТОВ ГОРОДСКИХ ОКРУГОВ ОТ ВОЗВРАТА БЮДЖЕТНЫМИ УЧРЕЖДЕНИЯМИ  ОСТАТКОВ СУБСИДИЙ ПРОШЛЫХ ЛЕТ</t>
  </si>
  <si>
    <t>Реализация мероприятий по модернизации школьных систем образования за счет средств областного бюджета</t>
  </si>
  <si>
    <t>03 2 05 R7501</t>
  </si>
  <si>
    <t>от 20.12.2021 №272-6-РД (ред. от 06.09.2022)</t>
  </si>
  <si>
    <t>Прочие доходы от компенсации затрат бюджетов городских округов</t>
  </si>
  <si>
    <t>1 13 02994 04 0000 130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</si>
  <si>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</si>
  <si>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</si>
  <si>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</si>
  <si>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</si>
  <si>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Основное мероприятие "Создание условий для развития социальной и инженерной инфраструктуры муниципального образования "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</si>
  <si>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</si>
  <si>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</si>
  <si>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</si>
  <si>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</si>
  <si>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</si>
  <si>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</si>
  <si>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</si>
  <si>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</si>
  <si>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</si>
  <si>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</si>
  <si>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Основное мероприятие "Разработка проектной документации на выполнение работ по сносу (демонтажу) аварийных жилых домов" "</t>
  </si>
  <si>
    <t>07 2 05 00000</t>
  </si>
  <si>
    <t>07 2 05 С1417</t>
  </si>
  <si>
    <t>Реализация мероприятий по модернизации школьных систем образования (Муниципальное бюджетное общеобразовательное учреждение "Средняя общеобразовательная школа №4 г.Щигры Курской области")</t>
  </si>
  <si>
    <t>03205L750Q</t>
  </si>
  <si>
    <t>03 2 05 L750Q</t>
  </si>
  <si>
    <t xml:space="preserve">от 20.12.2021 №272-6-РД (ред. от 20.12.2022) </t>
  </si>
  <si>
    <t>от 20.12.2021 № 272-6-РД (ред. от 20.12.2022)</t>
  </si>
  <si>
    <t xml:space="preserve">от 20.12.2021 № 272-6-РД (ред. от 20.12.2022) </t>
  </si>
  <si>
    <t>от 20.12.2021 № 272-6-РД (ред .от 20.12.2022)</t>
  </si>
  <si>
    <t>от 20.12.2021 № 272-6-РД  (ред. от 20.12.2022)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</si>
</sst>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22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Times New Roman"/>
      <family val="1"/>
    </font>
    <font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0"/>
      <color rgb="FF22272F"/>
      <name val="Arial"/>
      <family val="2"/>
    </font>
    <font>
      <sz val="11"/>
      <color rgb="FF22272F"/>
      <name val="Times New Roman"/>
      <family val="1"/>
    </font>
    <font>
      <sz val="10"/>
      <color rgb="FF6600FF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2" fillId="0" borderId="0">
      <alignment vertical="top" wrapText="1"/>
      <protection/>
    </xf>
    <xf numFmtId="170" fontId="32" fillId="0" borderId="0">
      <alignment vertical="top" wrapText="1"/>
      <protection/>
    </xf>
    <xf numFmtId="0" fontId="4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9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5" fillId="0" borderId="10" xfId="56" applyFont="1" applyFill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3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180" fontId="0" fillId="0" borderId="13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 horizontal="left" wrapText="1" indent="2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Continuous"/>
    </xf>
    <xf numFmtId="49" fontId="0" fillId="0" borderId="0" xfId="0" applyNumberFormat="1" applyFont="1" applyFill="1" applyAlignment="1">
      <alignment horizontal="right"/>
    </xf>
    <xf numFmtId="0" fontId="0" fillId="0" borderId="16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 indent="2"/>
    </xf>
    <xf numFmtId="4" fontId="20" fillId="0" borderId="15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23" fillId="0" borderId="11" xfId="59" applyFont="1" applyFill="1" applyBorder="1" applyAlignment="1">
      <alignment vertical="top" wrapText="1"/>
      <protection/>
    </xf>
    <xf numFmtId="0" fontId="23" fillId="0" borderId="10" xfId="58" applyFont="1" applyFill="1" applyBorder="1" applyAlignment="1">
      <alignment horizontal="center"/>
      <protection/>
    </xf>
    <xf numFmtId="206" fontId="0" fillId="0" borderId="10" xfId="54" applyNumberFormat="1" applyFont="1" applyFill="1" applyBorder="1" applyAlignment="1" applyProtection="1">
      <alignment horizontal="left" wrapText="1"/>
      <protection hidden="1"/>
    </xf>
    <xf numFmtId="0" fontId="25" fillId="0" borderId="10" xfId="58" applyFont="1" applyFill="1" applyBorder="1" applyAlignment="1">
      <alignment horizontal="left" wrapText="1"/>
      <protection/>
    </xf>
    <xf numFmtId="0" fontId="23" fillId="0" borderId="10" xfId="58" applyFont="1" applyFill="1" applyBorder="1" applyAlignment="1">
      <alignment horizontal="center" wrapText="1"/>
      <protection/>
    </xf>
    <xf numFmtId="4" fontId="25" fillId="0" borderId="10" xfId="58" applyNumberFormat="1" applyFont="1" applyFill="1" applyBorder="1" applyAlignment="1">
      <alignment horizontal="right"/>
      <protection/>
    </xf>
    <xf numFmtId="0" fontId="23" fillId="0" borderId="10" xfId="58" applyFont="1" applyFill="1" applyBorder="1" applyAlignment="1">
      <alignment horizontal="left" wrapText="1"/>
      <protection/>
    </xf>
    <xf numFmtId="0" fontId="24" fillId="0" borderId="10" xfId="58" applyFont="1" applyFill="1" applyBorder="1" applyAlignment="1">
      <alignment horizontal="left" wrapText="1"/>
      <protection/>
    </xf>
    <xf numFmtId="4" fontId="23" fillId="0" borderId="10" xfId="58" applyNumberFormat="1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0" fontId="20" fillId="0" borderId="14" xfId="0" applyFont="1" applyBorder="1" applyAlignment="1">
      <alignment vertical="top" wrapText="1"/>
    </xf>
    <xf numFmtId="0" fontId="23" fillId="0" borderId="17" xfId="58" applyFont="1" applyFill="1" applyBorder="1" applyAlignment="1">
      <alignment horizontal="left" wrapText="1"/>
      <protection/>
    </xf>
    <xf numFmtId="0" fontId="23" fillId="0" borderId="17" xfId="58" applyFont="1" applyFill="1" applyBorder="1" applyAlignment="1">
      <alignment horizontal="center" wrapText="1"/>
      <protection/>
    </xf>
    <xf numFmtId="0" fontId="25" fillId="0" borderId="10" xfId="58" applyFont="1" applyFill="1" applyBorder="1" applyAlignment="1">
      <alignment horizontal="center"/>
      <protection/>
    </xf>
    <xf numFmtId="0" fontId="23" fillId="0" borderId="17" xfId="58" applyFont="1" applyFill="1" applyBorder="1" applyAlignment="1">
      <alignment horizontal="center"/>
      <protection/>
    </xf>
    <xf numFmtId="49" fontId="23" fillId="0" borderId="10" xfId="58" applyNumberFormat="1" applyFont="1" applyFill="1" applyBorder="1" applyAlignment="1">
      <alignment horizontal="center" wrapText="1"/>
      <protection/>
    </xf>
    <xf numFmtId="0" fontId="0" fillId="0" borderId="18" xfId="0" applyFont="1" applyFill="1" applyBorder="1" applyAlignment="1">
      <alignment wrapText="1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wrapText="1"/>
    </xf>
    <xf numFmtId="0" fontId="0" fillId="0" borderId="13" xfId="0" applyFont="1" applyFill="1" applyBorder="1" applyAlignment="1">
      <alignment horizontal="justify"/>
    </xf>
    <xf numFmtId="0" fontId="0" fillId="0" borderId="0" xfId="60" applyFont="1">
      <alignment/>
      <protection/>
    </xf>
    <xf numFmtId="49" fontId="0" fillId="0" borderId="0" xfId="60" applyNumberFormat="1" applyFont="1" applyAlignment="1">
      <alignment horizontal="right"/>
      <protection/>
    </xf>
    <xf numFmtId="49" fontId="0" fillId="0" borderId="0" xfId="60" applyNumberFormat="1" applyFont="1" applyAlignment="1">
      <alignment horizontal="centerContinuous" wrapText="1"/>
      <protection/>
    </xf>
    <xf numFmtId="49" fontId="0" fillId="0" borderId="0" xfId="60" applyNumberFormat="1" applyFont="1" applyAlignment="1">
      <alignment horizontal="center"/>
      <protection/>
    </xf>
    <xf numFmtId="49" fontId="0" fillId="0" borderId="0" xfId="60" applyNumberFormat="1" applyFont="1">
      <alignment/>
      <protection/>
    </xf>
    <xf numFmtId="49" fontId="19" fillId="0" borderId="12" xfId="60" applyNumberFormat="1" applyFont="1" applyBorder="1" applyAlignment="1">
      <alignment horizontal="center" vertical="center" wrapText="1"/>
      <protection/>
    </xf>
    <xf numFmtId="49" fontId="0" fillId="0" borderId="11" xfId="60" applyNumberFormat="1" applyFont="1" applyBorder="1" applyAlignment="1">
      <alignment vertical="top" wrapText="1"/>
      <protection/>
    </xf>
    <xf numFmtId="49" fontId="0" fillId="0" borderId="14" xfId="60" applyNumberFormat="1" applyFont="1" applyBorder="1" applyAlignment="1">
      <alignment vertical="top" wrapText="1"/>
      <protection/>
    </xf>
    <xf numFmtId="49" fontId="20" fillId="0" borderId="0" xfId="60" applyNumberFormat="1" applyFont="1" applyAlignment="1">
      <alignment horizontal="center"/>
      <protection/>
    </xf>
    <xf numFmtId="49" fontId="20" fillId="0" borderId="0" xfId="60" applyNumberFormat="1" applyFont="1" applyAlignment="1">
      <alignment horizontal="centerContinuous" wrapText="1"/>
      <protection/>
    </xf>
    <xf numFmtId="49" fontId="0" fillId="0" borderId="15" xfId="60" applyNumberFormat="1" applyFont="1" applyBorder="1" applyAlignment="1">
      <alignment vertical="top" wrapText="1"/>
      <protection/>
    </xf>
    <xf numFmtId="49" fontId="0" fillId="0" borderId="15" xfId="60" applyNumberFormat="1" applyFont="1" applyBorder="1" applyAlignment="1">
      <alignment horizontal="center" vertical="top" wrapText="1"/>
      <protection/>
    </xf>
    <xf numFmtId="0" fontId="37" fillId="0" borderId="0" xfId="60" applyFont="1">
      <alignment/>
      <protection/>
    </xf>
    <xf numFmtId="49" fontId="19" fillId="0" borderId="19" xfId="60" applyNumberFormat="1" applyFont="1" applyBorder="1" applyAlignment="1">
      <alignment horizontal="centerContinuous" vertical="center" wrapText="1"/>
      <protection/>
    </xf>
    <xf numFmtId="49" fontId="19" fillId="0" borderId="20" xfId="60" applyNumberFormat="1" applyFont="1" applyBorder="1" applyAlignment="1">
      <alignment horizontal="centerContinuous" vertical="center" wrapText="1"/>
      <protection/>
    </xf>
    <xf numFmtId="0" fontId="0" fillId="0" borderId="12" xfId="0" applyFont="1" applyFill="1" applyBorder="1" applyAlignment="1">
      <alignment horizontal="justify"/>
    </xf>
    <xf numFmtId="0" fontId="0" fillId="0" borderId="18" xfId="0" applyFont="1" applyFill="1" applyBorder="1" applyAlignment="1">
      <alignment/>
    </xf>
    <xf numFmtId="0" fontId="21" fillId="0" borderId="10" xfId="56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center" wrapText="1"/>
      <protection/>
    </xf>
    <xf numFmtId="4" fontId="0" fillId="0" borderId="10" xfId="58" applyNumberFormat="1" applyFont="1" applyFill="1" applyBorder="1" applyAlignment="1">
      <alignment horizontal="right"/>
      <protection/>
    </xf>
    <xf numFmtId="0" fontId="0" fillId="0" borderId="10" xfId="58" applyFont="1" applyFill="1" applyBorder="1" applyAlignment="1">
      <alignment horizontal="left" wrapText="1"/>
      <protection/>
    </xf>
    <xf numFmtId="0" fontId="20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center"/>
      <protection/>
    </xf>
    <xf numFmtId="4" fontId="21" fillId="0" borderId="10" xfId="58" applyNumberFormat="1" applyFont="1" applyFill="1" applyBorder="1" applyAlignment="1">
      <alignment horizontal="right"/>
      <protection/>
    </xf>
    <xf numFmtId="4" fontId="23" fillId="0" borderId="17" xfId="58" applyNumberFormat="1" applyFont="1" applyFill="1" applyBorder="1" applyAlignment="1">
      <alignment horizontal="right"/>
      <protection/>
    </xf>
    <xf numFmtId="49" fontId="23" fillId="0" borderId="21" xfId="58" applyNumberFormat="1" applyFont="1" applyFill="1" applyBorder="1" applyAlignment="1">
      <alignment horizontal="center" wrapText="1"/>
      <protection/>
    </xf>
    <xf numFmtId="0" fontId="23" fillId="0" borderId="21" xfId="58" applyFont="1" applyFill="1" applyBorder="1" applyAlignment="1">
      <alignment horizontal="center" wrapText="1"/>
      <protection/>
    </xf>
    <xf numFmtId="0" fontId="23" fillId="0" borderId="21" xfId="58" applyFont="1" applyFill="1" applyBorder="1" applyAlignment="1">
      <alignment horizontal="center"/>
      <protection/>
    </xf>
    <xf numFmtId="4" fontId="23" fillId="0" borderId="21" xfId="58" applyNumberFormat="1" applyFont="1" applyFill="1" applyBorder="1" applyAlignment="1">
      <alignment horizontal="right"/>
      <protection/>
    </xf>
    <xf numFmtId="49" fontId="23" fillId="0" borderId="17" xfId="58" applyNumberFormat="1" applyFont="1" applyFill="1" applyBorder="1" applyAlignment="1">
      <alignment horizontal="center" wrapText="1"/>
      <protection/>
    </xf>
    <xf numFmtId="0" fontId="34" fillId="0" borderId="12" xfId="0" applyFont="1" applyFill="1" applyBorder="1" applyAlignment="1">
      <alignment/>
    </xf>
    <xf numFmtId="0" fontId="34" fillId="0" borderId="12" xfId="0" applyFont="1" applyFill="1" applyBorder="1" applyAlignment="1">
      <alignment wrapText="1"/>
    </xf>
    <xf numFmtId="0" fontId="24" fillId="0" borderId="0" xfId="57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0" borderId="0" xfId="57" applyFont="1" applyFill="1" applyAlignment="1">
      <alignment vertical="top" wrapText="1"/>
      <protection/>
    </xf>
    <xf numFmtId="0" fontId="23" fillId="0" borderId="0" xfId="57" applyFont="1" applyFill="1" applyAlignment="1">
      <alignment horizontal="center" vertical="center" wrapText="1"/>
      <protection/>
    </xf>
    <xf numFmtId="206" fontId="0" fillId="0" borderId="11" xfId="54" applyNumberFormat="1" applyFont="1" applyFill="1" applyBorder="1" applyAlignment="1" applyProtection="1">
      <alignment horizontal="left" wrapText="1"/>
      <protection hidden="1"/>
    </xf>
    <xf numFmtId="0" fontId="23" fillId="0" borderId="11" xfId="58" applyFont="1" applyFill="1" applyBorder="1" applyAlignment="1">
      <alignment horizontal="center" wrapText="1"/>
      <protection/>
    </xf>
    <xf numFmtId="0" fontId="23" fillId="0" borderId="11" xfId="58" applyFont="1" applyFill="1" applyBorder="1" applyAlignment="1">
      <alignment horizontal="center"/>
      <protection/>
    </xf>
    <xf numFmtId="0" fontId="27" fillId="0" borderId="11" xfId="58" applyFont="1" applyFill="1" applyBorder="1" applyAlignment="1">
      <alignment wrapText="1"/>
      <protection/>
    </xf>
    <xf numFmtId="0" fontId="23" fillId="0" borderId="11" xfId="58" applyFont="1" applyFill="1" applyBorder="1" applyAlignment="1">
      <alignment horizontal="left" wrapText="1"/>
      <protection/>
    </xf>
    <xf numFmtId="0" fontId="0" fillId="0" borderId="11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left" wrapText="1"/>
      <protection/>
    </xf>
    <xf numFmtId="0" fontId="0" fillId="0" borderId="17" xfId="58" applyFont="1" applyFill="1" applyBorder="1" applyAlignment="1">
      <alignment horizontal="center"/>
      <protection/>
    </xf>
    <xf numFmtId="4" fontId="0" fillId="0" borderId="17" xfId="58" applyNumberFormat="1" applyFont="1" applyFill="1" applyBorder="1" applyAlignment="1">
      <alignment horizontal="right"/>
      <protection/>
    </xf>
    <xf numFmtId="49" fontId="0" fillId="0" borderId="21" xfId="58" applyNumberFormat="1" applyFont="1" applyFill="1" applyBorder="1" applyAlignment="1">
      <alignment horizontal="center" wrapText="1"/>
      <protection/>
    </xf>
    <xf numFmtId="0" fontId="0" fillId="0" borderId="21" xfId="58" applyFont="1" applyFill="1" applyBorder="1" applyAlignment="1">
      <alignment horizontal="center" wrapText="1"/>
      <protection/>
    </xf>
    <xf numFmtId="0" fontId="0" fillId="0" borderId="21" xfId="58" applyFont="1" applyFill="1" applyBorder="1" applyAlignment="1">
      <alignment horizontal="center"/>
      <protection/>
    </xf>
    <xf numFmtId="4" fontId="0" fillId="0" borderId="21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horizontal="center" wrapText="1"/>
      <protection/>
    </xf>
    <xf numFmtId="49" fontId="0" fillId="0" borderId="17" xfId="58" applyNumberFormat="1" applyFont="1" applyFill="1" applyBorder="1" applyAlignment="1">
      <alignment horizontal="center" wrapText="1"/>
      <protection/>
    </xf>
    <xf numFmtId="0" fontId="0" fillId="0" borderId="17" xfId="58" applyFont="1" applyFill="1" applyBorder="1" applyAlignment="1">
      <alignment horizontal="center" wrapText="1"/>
      <protection/>
    </xf>
    <xf numFmtId="4" fontId="23" fillId="0" borderId="0" xfId="57" applyNumberFormat="1" applyFont="1" applyFill="1" applyAlignment="1">
      <alignment vertical="top" wrapText="1"/>
      <protection/>
    </xf>
    <xf numFmtId="49" fontId="24" fillId="0" borderId="0" xfId="57" applyNumberFormat="1" applyFont="1" applyFill="1" applyAlignment="1">
      <alignment horizontal="center" vertical="center" wrapText="1"/>
      <protection/>
    </xf>
    <xf numFmtId="49" fontId="23" fillId="0" borderId="0" xfId="57" applyNumberFormat="1" applyFont="1" applyFill="1" applyAlignment="1">
      <alignment horizontal="center" vertical="top" wrapText="1"/>
      <protection/>
    </xf>
    <xf numFmtId="49" fontId="23" fillId="0" borderId="0" xfId="57" applyNumberFormat="1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vertical="top"/>
      <protection/>
    </xf>
    <xf numFmtId="0" fontId="0" fillId="0" borderId="14" xfId="0" applyFont="1" applyFill="1" applyBorder="1" applyAlignment="1">
      <alignment horizontal="left" wrapText="1"/>
    </xf>
    <xf numFmtId="0" fontId="23" fillId="0" borderId="12" xfId="56" applyFont="1" applyFill="1" applyBorder="1" applyAlignment="1">
      <alignment horizontal="center" wrapText="1"/>
      <protection/>
    </xf>
    <xf numFmtId="0" fontId="23" fillId="0" borderId="22" xfId="56" applyFont="1" applyFill="1" applyBorder="1" applyAlignment="1">
      <alignment horizontal="center" wrapText="1"/>
      <protection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>
      <alignment horizontal="right" vertical="top"/>
    </xf>
    <xf numFmtId="4" fontId="20" fillId="0" borderId="16" xfId="0" applyNumberFormat="1" applyFont="1" applyFill="1" applyBorder="1" applyAlignment="1">
      <alignment horizontal="right" vertical="top"/>
    </xf>
    <xf numFmtId="4" fontId="21" fillId="0" borderId="16" xfId="0" applyNumberFormat="1" applyFont="1" applyFill="1" applyBorder="1" applyAlignment="1">
      <alignment horizontal="right" vertical="top"/>
    </xf>
    <xf numFmtId="4" fontId="33" fillId="0" borderId="16" xfId="0" applyNumberFormat="1" applyFont="1" applyFill="1" applyBorder="1" applyAlignment="1">
      <alignment horizontal="right" vertical="top"/>
    </xf>
    <xf numFmtId="4" fontId="33" fillId="0" borderId="26" xfId="0" applyNumberFormat="1" applyFont="1" applyFill="1" applyBorder="1" applyAlignment="1">
      <alignment horizontal="right" vertical="top"/>
    </xf>
    <xf numFmtId="49" fontId="19" fillId="0" borderId="27" xfId="0" applyNumberFormat="1" applyFont="1" applyFill="1" applyBorder="1" applyAlignment="1">
      <alignment horizontal="center" vertical="top" wrapText="1"/>
    </xf>
    <xf numFmtId="49" fontId="19" fillId="0" borderId="28" xfId="0" applyNumberFormat="1" applyFont="1" applyFill="1" applyBorder="1" applyAlignment="1">
      <alignment horizontal="center" vertical="center" wrapText="1"/>
    </xf>
    <xf numFmtId="0" fontId="23" fillId="0" borderId="0" xfId="56" applyFont="1" applyFill="1" applyAlignment="1">
      <alignment vertical="top" wrapText="1"/>
      <protection/>
    </xf>
    <xf numFmtId="4" fontId="23" fillId="0" borderId="0" xfId="56" applyNumberFormat="1" applyFont="1" applyFill="1" applyAlignment="1">
      <alignment vertical="top" wrapText="1"/>
      <protection/>
    </xf>
    <xf numFmtId="4" fontId="0" fillId="0" borderId="17" xfId="56" applyNumberFormat="1" applyFont="1" applyFill="1" applyBorder="1" applyAlignment="1">
      <alignment horizontal="right"/>
      <protection/>
    </xf>
    <xf numFmtId="0" fontId="0" fillId="0" borderId="17" xfId="56" applyFont="1" applyFill="1" applyBorder="1" applyAlignment="1">
      <alignment horizontal="center" wrapText="1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left" wrapText="1"/>
      <protection/>
    </xf>
    <xf numFmtId="4" fontId="21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wrapText="1"/>
      <protection/>
    </xf>
    <xf numFmtId="0" fontId="2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 wrapText="1"/>
      <protection/>
    </xf>
    <xf numFmtId="0" fontId="21" fillId="0" borderId="10" xfId="56" applyFont="1" applyFill="1" applyBorder="1" applyAlignment="1">
      <alignment wrapText="1"/>
      <protection/>
    </xf>
    <xf numFmtId="4" fontId="33" fillId="0" borderId="21" xfId="56" applyNumberFormat="1" applyFont="1" applyFill="1" applyBorder="1" applyAlignment="1">
      <alignment horizontal="right"/>
      <protection/>
    </xf>
    <xf numFmtId="0" fontId="20" fillId="0" borderId="21" xfId="56" applyFont="1" applyFill="1" applyBorder="1" applyAlignment="1">
      <alignment horizontal="center" wrapText="1"/>
      <protection/>
    </xf>
    <xf numFmtId="49" fontId="20" fillId="0" borderId="21" xfId="56" applyNumberFormat="1" applyFont="1" applyFill="1" applyBorder="1" applyAlignment="1">
      <alignment horizontal="center" wrapText="1"/>
      <protection/>
    </xf>
    <xf numFmtId="0" fontId="20" fillId="0" borderId="21" xfId="56" applyFont="1" applyFill="1" applyBorder="1" applyAlignment="1">
      <alignment wrapText="1"/>
      <protection/>
    </xf>
    <xf numFmtId="0" fontId="0" fillId="0" borderId="17" xfId="56" applyFont="1" applyFill="1" applyBorder="1" applyAlignment="1">
      <alignment wrapText="1"/>
      <protection/>
    </xf>
    <xf numFmtId="4" fontId="0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/>
      <protection/>
    </xf>
    <xf numFmtId="4" fontId="20" fillId="0" borderId="21" xfId="56" applyNumberFormat="1" applyFont="1" applyFill="1" applyBorder="1" applyAlignment="1">
      <alignment horizontal="right"/>
      <protection/>
    </xf>
    <xf numFmtId="49" fontId="0" fillId="0" borderId="17" xfId="56" applyNumberFormat="1" applyFont="1" applyFill="1" applyBorder="1" applyAlignment="1">
      <alignment horizontal="center" wrapText="1"/>
      <protection/>
    </xf>
    <xf numFmtId="49" fontId="0" fillId="0" borderId="10" xfId="56" applyNumberFormat="1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center"/>
      <protection/>
    </xf>
    <xf numFmtId="0" fontId="20" fillId="0" borderId="10" xfId="56" applyFont="1" applyFill="1" applyBorder="1" applyAlignment="1">
      <alignment horizontal="center" wrapText="1"/>
      <protection/>
    </xf>
    <xf numFmtId="49" fontId="21" fillId="0" borderId="10" xfId="56" applyNumberFormat="1" applyFont="1" applyFill="1" applyBorder="1" applyAlignment="1">
      <alignment horizontal="center" wrapText="1"/>
      <protection/>
    </xf>
    <xf numFmtId="4" fontId="0" fillId="0" borderId="29" xfId="56" applyNumberFormat="1" applyFont="1" applyFill="1" applyBorder="1" applyAlignment="1">
      <alignment horizontal="right"/>
      <protection/>
    </xf>
    <xf numFmtId="0" fontId="0" fillId="0" borderId="29" xfId="56" applyFont="1" applyFill="1" applyBorder="1" applyAlignment="1">
      <alignment horizontal="center"/>
      <protection/>
    </xf>
    <xf numFmtId="0" fontId="0" fillId="0" borderId="29" xfId="56" applyFont="1" applyFill="1" applyBorder="1" applyAlignment="1">
      <alignment horizontal="left" wrapText="1"/>
      <protection/>
    </xf>
    <xf numFmtId="4" fontId="24" fillId="0" borderId="21" xfId="56" applyNumberFormat="1" applyFont="1" applyFill="1" applyBorder="1" applyAlignment="1">
      <alignment horizontal="right"/>
      <protection/>
    </xf>
    <xf numFmtId="0" fontId="24" fillId="0" borderId="21" xfId="56" applyFont="1" applyFill="1" applyBorder="1" applyAlignment="1">
      <alignment horizontal="center" wrapText="1"/>
      <protection/>
    </xf>
    <xf numFmtId="49" fontId="23" fillId="0" borderId="21" xfId="56" applyNumberFormat="1" applyFont="1" applyFill="1" applyBorder="1" applyAlignment="1">
      <alignment horizontal="center" wrapText="1"/>
      <protection/>
    </xf>
    <xf numFmtId="0" fontId="24" fillId="0" borderId="21" xfId="56" applyFont="1" applyFill="1" applyBorder="1" applyAlignment="1">
      <alignment wrapText="1"/>
      <protection/>
    </xf>
    <xf numFmtId="4" fontId="24" fillId="0" borderId="30" xfId="56" applyNumberFormat="1" applyFont="1" applyFill="1" applyBorder="1" applyAlignment="1">
      <alignment horizontal="right"/>
      <protection/>
    </xf>
    <xf numFmtId="0" fontId="23" fillId="0" borderId="30" xfId="56" applyFont="1" applyFill="1" applyBorder="1" applyAlignment="1">
      <alignment horizontal="center" wrapText="1"/>
      <protection/>
    </xf>
    <xf numFmtId="0" fontId="24" fillId="0" borderId="30" xfId="56" applyFont="1" applyFill="1" applyBorder="1" applyAlignment="1">
      <alignment horizontal="left" wrapText="1"/>
      <protection/>
    </xf>
    <xf numFmtId="4" fontId="29" fillId="0" borderId="12" xfId="56" applyNumberFormat="1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29" fillId="0" borderId="31" xfId="56" applyFont="1" applyFill="1" applyBorder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center" wrapText="1"/>
      <protection/>
    </xf>
    <xf numFmtId="0" fontId="23" fillId="0" borderId="0" xfId="56" applyFont="1" applyFill="1" applyAlignment="1">
      <alignment horizontal="right" vertical="center" wrapText="1"/>
      <protection/>
    </xf>
    <xf numFmtId="4" fontId="24" fillId="0" borderId="0" xfId="56" applyNumberFormat="1" applyFont="1" applyFill="1" applyAlignment="1">
      <alignment horizontal="centerContinuous" vertical="center" wrapText="1"/>
      <protection/>
    </xf>
    <xf numFmtId="0" fontId="24" fillId="0" borderId="0" xfId="56" applyFont="1" applyFill="1" applyAlignment="1">
      <alignment horizontal="centerContinuous" vertic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top"/>
      <protection/>
    </xf>
    <xf numFmtId="0" fontId="23" fillId="0" borderId="0" xfId="56" applyFont="1" applyFill="1" applyAlignment="1">
      <alignment wrapText="1"/>
      <protection/>
    </xf>
    <xf numFmtId="4" fontId="23" fillId="0" borderId="17" xfId="56" applyNumberFormat="1" applyFont="1" applyFill="1" applyBorder="1" applyAlignment="1">
      <alignment horizontal="right"/>
      <protection/>
    </xf>
    <xf numFmtId="0" fontId="23" fillId="0" borderId="17" xfId="56" applyFont="1" applyFill="1" applyBorder="1" applyAlignment="1">
      <alignment horizontal="center" wrapText="1"/>
      <protection/>
    </xf>
    <xf numFmtId="0" fontId="23" fillId="0" borderId="17" xfId="56" applyFont="1" applyFill="1" applyBorder="1" applyAlignment="1">
      <alignment horizontal="center"/>
      <protection/>
    </xf>
    <xf numFmtId="0" fontId="23" fillId="0" borderId="17" xfId="56" applyFont="1" applyFill="1" applyBorder="1" applyAlignment="1">
      <alignment horizontal="left" wrapText="1"/>
      <protection/>
    </xf>
    <xf numFmtId="4" fontId="23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/>
      <protection/>
    </xf>
    <xf numFmtId="4" fontId="25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wrapText="1"/>
      <protection/>
    </xf>
    <xf numFmtId="0" fontId="25" fillId="0" borderId="10" xfId="56" applyFont="1" applyFill="1" applyBorder="1" applyAlignment="1">
      <alignment horizontal="center"/>
      <protection/>
    </xf>
    <xf numFmtId="4" fontId="25" fillId="0" borderId="21" xfId="56" applyNumberFormat="1" applyFont="1" applyFill="1" applyBorder="1" applyAlignment="1">
      <alignment horizontal="right"/>
      <protection/>
    </xf>
    <xf numFmtId="0" fontId="23" fillId="0" borderId="21" xfId="56" applyFont="1" applyFill="1" applyBorder="1" applyAlignment="1">
      <alignment wrapText="1"/>
      <protection/>
    </xf>
    <xf numFmtId="0" fontId="23" fillId="0" borderId="21" xfId="56" applyFont="1" applyFill="1" applyBorder="1" applyAlignment="1">
      <alignment horizontal="center"/>
      <protection/>
    </xf>
    <xf numFmtId="0" fontId="23" fillId="0" borderId="21" xfId="56" applyFont="1" applyFill="1" applyBorder="1" applyAlignment="1">
      <alignment horizontal="center" wrapText="1"/>
      <protection/>
    </xf>
    <xf numFmtId="0" fontId="24" fillId="0" borderId="21" xfId="56" applyFont="1" applyFill="1" applyBorder="1" applyAlignment="1">
      <alignment horizontal="left" wrapText="1"/>
      <protection/>
    </xf>
    <xf numFmtId="4" fontId="24" fillId="0" borderId="31" xfId="56" applyNumberFormat="1" applyFont="1" applyFill="1" applyBorder="1" applyAlignment="1">
      <alignment horizontal="right"/>
      <protection/>
    </xf>
    <xf numFmtId="0" fontId="23" fillId="0" borderId="31" xfId="56" applyFont="1" applyFill="1" applyBorder="1" applyAlignment="1">
      <alignment wrapText="1"/>
      <protection/>
    </xf>
    <xf numFmtId="49" fontId="24" fillId="0" borderId="31" xfId="56" applyNumberFormat="1" applyFont="1" applyFill="1" applyBorder="1" applyAlignment="1">
      <alignment horizontal="center" wrapText="1"/>
      <protection/>
    </xf>
    <xf numFmtId="0" fontId="24" fillId="0" borderId="31" xfId="56" applyFont="1" applyFill="1" applyBorder="1" applyAlignment="1">
      <alignment horizontal="left" wrapText="1"/>
      <protection/>
    </xf>
    <xf numFmtId="0" fontId="27" fillId="0" borderId="10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wrapText="1"/>
      <protection/>
    </xf>
    <xf numFmtId="0" fontId="24" fillId="0" borderId="10" xfId="56" applyFont="1" applyFill="1" applyBorder="1" applyAlignment="1">
      <alignment horizontal="left" wrapText="1"/>
      <protection/>
    </xf>
    <xf numFmtId="0" fontId="28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wrapText="1"/>
      <protection/>
    </xf>
    <xf numFmtId="4" fontId="26" fillId="0" borderId="21" xfId="56" applyNumberFormat="1" applyFont="1" applyFill="1" applyBorder="1" applyAlignment="1">
      <alignment horizontal="right"/>
      <protection/>
    </xf>
    <xf numFmtId="49" fontId="24" fillId="0" borderId="21" xfId="56" applyNumberFormat="1" applyFont="1" applyFill="1" applyBorder="1" applyAlignment="1">
      <alignment horizontal="center" wrapText="1"/>
      <protection/>
    </xf>
    <xf numFmtId="0" fontId="23" fillId="0" borderId="17" xfId="56" applyFont="1" applyFill="1" applyBorder="1" applyAlignment="1">
      <alignment wrapText="1"/>
      <protection/>
    </xf>
    <xf numFmtId="4" fontId="24" fillId="0" borderId="32" xfId="56" applyNumberFormat="1" applyFont="1" applyFill="1" applyBorder="1" applyAlignment="1">
      <alignment horizontal="right"/>
      <protection/>
    </xf>
    <xf numFmtId="0" fontId="23" fillId="0" borderId="32" xfId="56" applyFont="1" applyFill="1" applyBorder="1" applyAlignment="1">
      <alignment wrapText="1"/>
      <protection/>
    </xf>
    <xf numFmtId="49" fontId="24" fillId="0" borderId="32" xfId="56" applyNumberFormat="1" applyFont="1" applyFill="1" applyBorder="1" applyAlignment="1">
      <alignment horizontal="center" wrapText="1"/>
      <protection/>
    </xf>
    <xf numFmtId="0" fontId="24" fillId="0" borderId="32" xfId="56" applyFont="1" applyFill="1" applyBorder="1" applyAlignment="1">
      <alignment horizontal="left" wrapText="1"/>
      <protection/>
    </xf>
    <xf numFmtId="49" fontId="23" fillId="0" borderId="17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4" fontId="25" fillId="0" borderId="29" xfId="56" applyNumberFormat="1" applyFont="1" applyFill="1" applyBorder="1" applyAlignment="1">
      <alignment horizontal="right"/>
      <protection/>
    </xf>
    <xf numFmtId="0" fontId="23" fillId="0" borderId="21" xfId="56" applyFont="1" applyFill="1" applyBorder="1" applyAlignment="1">
      <alignment horizontal="left" wrapText="1"/>
      <protection/>
    </xf>
    <xf numFmtId="4" fontId="23" fillId="0" borderId="10" xfId="56" applyNumberFormat="1" applyFont="1" applyFill="1" applyBorder="1" applyAlignment="1">
      <alignment vertical="top" wrapText="1"/>
      <protection/>
    </xf>
    <xf numFmtId="0" fontId="24" fillId="0" borderId="10" xfId="56" applyFont="1" applyFill="1" applyBorder="1" applyAlignment="1">
      <alignment horizontal="center" wrapText="1"/>
      <protection/>
    </xf>
    <xf numFmtId="49" fontId="25" fillId="0" borderId="10" xfId="56" applyNumberFormat="1" applyFont="1" applyFill="1" applyBorder="1" applyAlignment="1">
      <alignment horizontal="center" wrapText="1"/>
      <protection/>
    </xf>
    <xf numFmtId="4" fontId="24" fillId="0" borderId="33" xfId="56" applyNumberFormat="1" applyFont="1" applyFill="1" applyBorder="1" applyAlignment="1">
      <alignment horizontal="right"/>
      <protection/>
    </xf>
    <xf numFmtId="0" fontId="24" fillId="0" borderId="33" xfId="56" applyFont="1" applyFill="1" applyBorder="1" applyAlignment="1">
      <alignment horizontal="center" wrapText="1"/>
      <protection/>
    </xf>
    <xf numFmtId="49" fontId="24" fillId="0" borderId="33" xfId="56" applyNumberFormat="1" applyFont="1" applyFill="1" applyBorder="1" applyAlignment="1">
      <alignment horizontal="center" wrapText="1"/>
      <protection/>
    </xf>
    <xf numFmtId="0" fontId="24" fillId="0" borderId="33" xfId="56" applyFont="1" applyFill="1" applyBorder="1" applyAlignment="1">
      <alignment wrapText="1"/>
      <protection/>
    </xf>
    <xf numFmtId="0" fontId="23" fillId="0" borderId="29" xfId="56" applyFont="1" applyFill="1" applyBorder="1" applyAlignment="1">
      <alignment horizontal="left" wrapText="1"/>
      <protection/>
    </xf>
    <xf numFmtId="4" fontId="23" fillId="0" borderId="29" xfId="56" applyNumberFormat="1" applyFont="1" applyFill="1" applyBorder="1" applyAlignment="1">
      <alignment horizontal="right"/>
      <protection/>
    </xf>
    <xf numFmtId="4" fontId="23" fillId="0" borderId="34" xfId="56" applyNumberFormat="1" applyFont="1" applyFill="1" applyBorder="1" applyAlignment="1">
      <alignment horizontal="right"/>
      <protection/>
    </xf>
    <xf numFmtId="0" fontId="23" fillId="0" borderId="34" xfId="56" applyFont="1" applyFill="1" applyBorder="1" applyAlignment="1">
      <alignment horizontal="center"/>
      <protection/>
    </xf>
    <xf numFmtId="0" fontId="23" fillId="0" borderId="34" xfId="56" applyFont="1" applyFill="1" applyBorder="1" applyAlignment="1">
      <alignment horizontal="center" wrapText="1"/>
      <protection/>
    </xf>
    <xf numFmtId="0" fontId="23" fillId="0" borderId="34" xfId="56" applyFont="1" applyFill="1" applyBorder="1" applyAlignment="1">
      <alignment horizontal="left" wrapText="1"/>
      <protection/>
    </xf>
    <xf numFmtId="4" fontId="24" fillId="0" borderId="22" xfId="56" applyNumberFormat="1" applyFont="1" applyFill="1" applyBorder="1" applyAlignment="1">
      <alignment horizontal="right"/>
      <protection/>
    </xf>
    <xf numFmtId="0" fontId="24" fillId="0" borderId="22" xfId="56" applyFont="1" applyFill="1" applyBorder="1" applyAlignment="1">
      <alignment horizontal="center" wrapText="1"/>
      <protection/>
    </xf>
    <xf numFmtId="4" fontId="23" fillId="0" borderId="0" xfId="56" applyNumberFormat="1" applyFont="1" applyFill="1" applyAlignment="1">
      <alignment wrapText="1"/>
      <protection/>
    </xf>
    <xf numFmtId="4" fontId="29" fillId="0" borderId="32" xfId="56" applyNumberFormat="1" applyFont="1" applyFill="1" applyBorder="1" applyAlignment="1">
      <alignment horizontal="center" vertical="center"/>
      <protection/>
    </xf>
    <xf numFmtId="49" fontId="29" fillId="0" borderId="32" xfId="56" applyNumberFormat="1" applyFont="1" applyFill="1" applyBorder="1" applyAlignment="1">
      <alignment horizontal="center" vertical="center" wrapText="1"/>
      <protection/>
    </xf>
    <xf numFmtId="0" fontId="29" fillId="0" borderId="32" xfId="56" applyFont="1" applyFill="1" applyBorder="1" applyAlignment="1">
      <alignment horizontal="center" vertical="center" wrapText="1"/>
      <protection/>
    </xf>
    <xf numFmtId="49" fontId="23" fillId="0" borderId="0" xfId="56" applyNumberFormat="1" applyFont="1" applyFill="1" applyAlignment="1">
      <alignment horizontal="right" vertical="center" wrapText="1"/>
      <protection/>
    </xf>
    <xf numFmtId="49" fontId="24" fillId="0" borderId="0" xfId="56" applyNumberFormat="1" applyFont="1" applyFill="1" applyAlignment="1">
      <alignment horizontal="centerContinuous" vertical="center" wrapText="1"/>
      <protection/>
    </xf>
    <xf numFmtId="4" fontId="23" fillId="0" borderId="0" xfId="56" applyNumberFormat="1" applyFont="1" applyFill="1" applyAlignment="1">
      <alignment horizontal="right" vertical="center"/>
      <protection/>
    </xf>
    <xf numFmtId="49" fontId="23" fillId="0" borderId="0" xfId="56" applyNumberFormat="1" applyFont="1" applyFill="1" applyAlignment="1">
      <alignment horizontal="center" vertical="top" wrapText="1"/>
      <protection/>
    </xf>
    <xf numFmtId="49" fontId="23" fillId="0" borderId="0" xfId="56" applyNumberFormat="1" applyFont="1" applyFill="1" applyAlignment="1">
      <alignment horizontal="center" vertical="center" wrapText="1"/>
      <protection/>
    </xf>
    <xf numFmtId="49" fontId="24" fillId="0" borderId="0" xfId="56" applyNumberFormat="1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vertical="top"/>
      <protection/>
    </xf>
    <xf numFmtId="0" fontId="23" fillId="0" borderId="0" xfId="56" applyFont="1" applyFill="1" applyBorder="1" applyAlignment="1">
      <alignment/>
      <protection/>
    </xf>
    <xf numFmtId="4" fontId="23" fillId="0" borderId="0" xfId="56" applyNumberFormat="1" applyFont="1" applyFill="1" applyBorder="1" applyAlignment="1">
      <alignment horizontal="right"/>
      <protection/>
    </xf>
    <xf numFmtId="0" fontId="23" fillId="0" borderId="0" xfId="56" applyFont="1" applyFill="1" applyBorder="1" applyAlignment="1">
      <alignment horizontal="center"/>
      <protection/>
    </xf>
    <xf numFmtId="4" fontId="25" fillId="0" borderId="0" xfId="56" applyNumberFormat="1" applyFont="1" applyFill="1" applyBorder="1" applyAlignment="1">
      <alignment horizontal="right"/>
      <protection/>
    </xf>
    <xf numFmtId="0" fontId="25" fillId="0" borderId="0" xfId="56" applyFont="1" applyFill="1" applyBorder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31" fillId="0" borderId="21" xfId="56" applyFont="1" applyFill="1" applyBorder="1" applyAlignment="1">
      <alignment horizontal="center" wrapText="1"/>
      <protection/>
    </xf>
    <xf numFmtId="4" fontId="23" fillId="0" borderId="32" xfId="56" applyNumberFormat="1" applyFont="1" applyFill="1" applyBorder="1" applyAlignment="1">
      <alignment horizontal="right"/>
      <protection/>
    </xf>
    <xf numFmtId="0" fontId="23" fillId="0" borderId="32" xfId="56" applyFont="1" applyFill="1" applyBorder="1" applyAlignment="1">
      <alignment horizontal="center" wrapText="1"/>
      <protection/>
    </xf>
    <xf numFmtId="0" fontId="23" fillId="0" borderId="32" xfId="56" applyFont="1" applyFill="1" applyBorder="1" applyAlignment="1">
      <alignment horizontal="left" wrapText="1"/>
      <protection/>
    </xf>
    <xf numFmtId="4" fontId="25" fillId="0" borderId="32" xfId="56" applyNumberFormat="1" applyFont="1" applyFill="1" applyBorder="1" applyAlignment="1">
      <alignment horizontal="right"/>
      <protection/>
    </xf>
    <xf numFmtId="0" fontId="21" fillId="0" borderId="32" xfId="56" applyFont="1" applyFill="1" applyBorder="1" applyAlignment="1">
      <alignment horizontal="left" wrapText="1"/>
      <protection/>
    </xf>
    <xf numFmtId="4" fontId="26" fillId="0" borderId="32" xfId="56" applyNumberFormat="1" applyFont="1" applyFill="1" applyBorder="1" applyAlignment="1">
      <alignment horizontal="right"/>
      <protection/>
    </xf>
    <xf numFmtId="0" fontId="24" fillId="0" borderId="32" xfId="56" applyFont="1" applyFill="1" applyBorder="1" applyAlignment="1">
      <alignment horizontal="center" wrapText="1"/>
      <protection/>
    </xf>
    <xf numFmtId="0" fontId="20" fillId="0" borderId="32" xfId="56" applyFont="1" applyFill="1" applyBorder="1" applyAlignment="1">
      <alignment horizontal="left" wrapText="1"/>
      <protection/>
    </xf>
    <xf numFmtId="0" fontId="26" fillId="0" borderId="21" xfId="56" applyFont="1" applyFill="1" applyBorder="1" applyAlignment="1">
      <alignment horizontal="center" wrapText="1"/>
      <protection/>
    </xf>
    <xf numFmtId="0" fontId="26" fillId="0" borderId="21" xfId="56" applyFont="1" applyFill="1" applyBorder="1" applyAlignment="1">
      <alignment horizontal="center"/>
      <protection/>
    </xf>
    <xf numFmtId="0" fontId="26" fillId="0" borderId="21" xfId="56" applyFont="1" applyFill="1" applyBorder="1" applyAlignment="1">
      <alignment horizontal="left" wrapText="1"/>
      <protection/>
    </xf>
    <xf numFmtId="4" fontId="23" fillId="0" borderId="0" xfId="56" applyNumberFormat="1" applyFont="1" applyFill="1" applyBorder="1" applyAlignment="1">
      <alignment vertical="top"/>
      <protection/>
    </xf>
    <xf numFmtId="0" fontId="29" fillId="0" borderId="35" xfId="56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right" vertical="center"/>
      <protection/>
    </xf>
    <xf numFmtId="0" fontId="23" fillId="0" borderId="0" xfId="56" applyFont="1" applyFill="1" applyAlignment="1">
      <alignment horizontal="right" vertical="top"/>
      <protection/>
    </xf>
    <xf numFmtId="0" fontId="0" fillId="0" borderId="16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19" fillId="0" borderId="36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49" fontId="19" fillId="0" borderId="39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vertical="top" wrapText="1"/>
    </xf>
    <xf numFmtId="49" fontId="20" fillId="0" borderId="26" xfId="0" applyNumberFormat="1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49" fontId="20" fillId="0" borderId="16" xfId="0" applyNumberFormat="1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20" fillId="0" borderId="15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39" fillId="0" borderId="12" xfId="0" applyFont="1" applyFill="1" applyBorder="1" applyAlignment="1">
      <alignment/>
    </xf>
    <xf numFmtId="0" fontId="23" fillId="0" borderId="12" xfId="56" applyFont="1" applyFill="1" applyBorder="1" applyAlignment="1">
      <alignment wrapText="1"/>
      <protection/>
    </xf>
    <xf numFmtId="0" fontId="23" fillId="0" borderId="11" xfId="56" applyFont="1" applyFill="1" applyBorder="1" applyAlignment="1">
      <alignment horizontal="left" wrapText="1"/>
      <protection/>
    </xf>
    <xf numFmtId="0" fontId="24" fillId="0" borderId="11" xfId="56" applyFont="1" applyFill="1" applyBorder="1" applyAlignment="1">
      <alignment horizontal="left" wrapText="1"/>
      <protection/>
    </xf>
    <xf numFmtId="0" fontId="25" fillId="0" borderId="11" xfId="56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vertical="top" wrapText="1"/>
      <protection/>
    </xf>
    <xf numFmtId="0" fontId="21" fillId="0" borderId="10" xfId="56" applyFont="1" applyFill="1" applyBorder="1" applyAlignment="1">
      <alignment horizontal="left" vertical="top" wrapText="1"/>
      <protection/>
    </xf>
    <xf numFmtId="0" fontId="23" fillId="0" borderId="10" xfId="64" applyNumberFormat="1" applyFont="1" applyFill="1" applyBorder="1" applyAlignment="1">
      <alignment vertical="top" wrapText="1"/>
      <protection/>
    </xf>
    <xf numFmtId="0" fontId="34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vertical="top" wrapText="1"/>
    </xf>
    <xf numFmtId="0" fontId="38" fillId="0" borderId="10" xfId="54" applyFont="1" applyFill="1" applyBorder="1" applyAlignment="1">
      <alignment vertical="center" wrapText="1"/>
      <protection/>
    </xf>
    <xf numFmtId="0" fontId="23" fillId="0" borderId="29" xfId="56" applyFont="1" applyFill="1" applyBorder="1" applyAlignment="1">
      <alignment horizontal="center" wrapText="1"/>
      <protection/>
    </xf>
    <xf numFmtId="0" fontId="23" fillId="0" borderId="29" xfId="56" applyFont="1" applyFill="1" applyBorder="1" applyAlignment="1">
      <alignment horizontal="center"/>
      <protection/>
    </xf>
    <xf numFmtId="0" fontId="24" fillId="0" borderId="12" xfId="56" applyFont="1" applyFill="1" applyBorder="1" applyAlignment="1">
      <alignment horizontal="left" wrapText="1"/>
      <protection/>
    </xf>
    <xf numFmtId="0" fontId="24" fillId="0" borderId="12" xfId="56" applyFont="1" applyFill="1" applyBorder="1" applyAlignment="1">
      <alignment horizontal="center" wrapText="1"/>
      <protection/>
    </xf>
    <xf numFmtId="0" fontId="24" fillId="0" borderId="12" xfId="56" applyFont="1" applyFill="1" applyBorder="1" applyAlignment="1">
      <alignment horizontal="center"/>
      <protection/>
    </xf>
    <xf numFmtId="0" fontId="31" fillId="0" borderId="12" xfId="56" applyFont="1" applyFill="1" applyBorder="1" applyAlignment="1">
      <alignment horizontal="center" wrapText="1"/>
      <protection/>
    </xf>
    <xf numFmtId="0" fontId="23" fillId="0" borderId="31" xfId="56" applyFont="1" applyFill="1" applyBorder="1" applyAlignment="1">
      <alignment horizontal="center" wrapText="1"/>
      <protection/>
    </xf>
    <xf numFmtId="0" fontId="23" fillId="0" borderId="31" xfId="56" applyFont="1" applyFill="1" applyBorder="1" applyAlignment="1">
      <alignment horizontal="center"/>
      <protection/>
    </xf>
    <xf numFmtId="0" fontId="24" fillId="0" borderId="40" xfId="56" applyFont="1" applyFill="1" applyBorder="1" applyAlignment="1">
      <alignment horizontal="left" wrapText="1"/>
      <protection/>
    </xf>
    <xf numFmtId="0" fontId="23" fillId="0" borderId="30" xfId="56" applyFont="1" applyFill="1" applyBorder="1" applyAlignment="1">
      <alignment horizontal="left" wrapText="1"/>
      <protection/>
    </xf>
    <xf numFmtId="0" fontId="23" fillId="0" borderId="30" xfId="56" applyFont="1" applyFill="1" applyBorder="1" applyAlignment="1">
      <alignment horizontal="center"/>
      <protection/>
    </xf>
    <xf numFmtId="0" fontId="20" fillId="0" borderId="21" xfId="56" applyFont="1" applyFill="1" applyBorder="1" applyAlignment="1">
      <alignment horizontal="left" wrapText="1"/>
      <protection/>
    </xf>
    <xf numFmtId="0" fontId="23" fillId="0" borderId="12" xfId="56" applyFont="1" applyFill="1" applyBorder="1" applyAlignment="1">
      <alignment vertical="top" wrapText="1"/>
      <protection/>
    </xf>
    <xf numFmtId="49" fontId="0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 wrapText="1"/>
    </xf>
    <xf numFmtId="0" fontId="0" fillId="0" borderId="25" xfId="0" applyNumberFormat="1" applyFont="1" applyFill="1" applyBorder="1" applyAlignment="1">
      <alignment vertical="top" wrapText="1"/>
    </xf>
    <xf numFmtId="49" fontId="20" fillId="0" borderId="24" xfId="0" applyNumberFormat="1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top" wrapText="1"/>
    </xf>
    <xf numFmtId="0" fontId="0" fillId="0" borderId="12" xfId="42" applyFont="1" applyFill="1" applyBorder="1" applyAlignment="1" applyProtection="1">
      <alignment wrapText="1"/>
      <protection/>
    </xf>
    <xf numFmtId="0" fontId="0" fillId="0" borderId="0" xfId="42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49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0" fontId="0" fillId="0" borderId="10" xfId="64" applyNumberFormat="1" applyFont="1" applyFill="1" applyBorder="1" applyAlignment="1">
      <alignment vertical="top" wrapText="1"/>
      <protection/>
    </xf>
    <xf numFmtId="0" fontId="0" fillId="0" borderId="10" xfId="0" applyNumberFormat="1" applyFont="1" applyFill="1" applyBorder="1" applyAlignment="1">
      <alignment vertical="top" wrapText="1"/>
    </xf>
    <xf numFmtId="0" fontId="38" fillId="0" borderId="11" xfId="54" applyFont="1" applyFill="1" applyBorder="1" applyAlignment="1">
      <alignment vertical="center" wrapText="1"/>
      <protection/>
    </xf>
    <xf numFmtId="49" fontId="0" fillId="0" borderId="21" xfId="56" applyNumberFormat="1" applyFont="1" applyFill="1" applyBorder="1" applyAlignment="1">
      <alignment horizontal="center" wrapText="1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14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Fill="1" applyAlignment="1">
      <alignment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0" fillId="0" borderId="24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25" xfId="0" applyNumberFormat="1" applyFont="1" applyFill="1" applyBorder="1" applyAlignment="1">
      <alignment vertical="top" wrapText="1"/>
    </xf>
    <xf numFmtId="0" fontId="36" fillId="0" borderId="41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wrapText="1"/>
    </xf>
    <xf numFmtId="0" fontId="34" fillId="0" borderId="0" xfId="0" applyFont="1" applyFill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/>
    </xf>
    <xf numFmtId="49" fontId="0" fillId="0" borderId="14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/>
    </xf>
    <xf numFmtId="0" fontId="20" fillId="0" borderId="42" xfId="0" applyFont="1" applyFill="1" applyBorder="1" applyAlignment="1">
      <alignment wrapText="1"/>
    </xf>
    <xf numFmtId="0" fontId="23" fillId="0" borderId="22" xfId="56" applyFont="1" applyFill="1" applyBorder="1" applyAlignment="1">
      <alignment horizontal="center"/>
      <protection/>
    </xf>
    <xf numFmtId="4" fontId="23" fillId="0" borderId="22" xfId="56" applyNumberFormat="1" applyFont="1" applyFill="1" applyBorder="1" applyAlignment="1">
      <alignment horizontal="right"/>
      <protection/>
    </xf>
    <xf numFmtId="0" fontId="25" fillId="0" borderId="10" xfId="56" applyFont="1" applyFill="1" applyBorder="1" applyAlignment="1">
      <alignment horizontal="left" vertical="top" wrapText="1"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0" xfId="62" applyFont="1" applyFill="1" applyAlignment="1">
      <alignment horizontal="right"/>
      <protection/>
    </xf>
    <xf numFmtId="49" fontId="0" fillId="0" borderId="0" xfId="62" applyNumberFormat="1" applyFont="1" applyFill="1" applyAlignment="1">
      <alignment horizontal="right"/>
      <protection/>
    </xf>
    <xf numFmtId="0" fontId="19" fillId="0" borderId="32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top" wrapText="1"/>
      <protection/>
    </xf>
    <xf numFmtId="0" fontId="20" fillId="0" borderId="21" xfId="62" applyFont="1" applyFill="1" applyBorder="1" applyAlignment="1">
      <alignment vertical="center" wrapText="1"/>
      <protection/>
    </xf>
    <xf numFmtId="2" fontId="21" fillId="0" borderId="21" xfId="62" applyNumberFormat="1" applyFont="1" applyFill="1" applyBorder="1" applyAlignment="1">
      <alignment horizontal="center" vertical="center" wrapText="1"/>
      <protection/>
    </xf>
    <xf numFmtId="205" fontId="0" fillId="0" borderId="0" xfId="62" applyNumberFormat="1" applyFont="1" applyFill="1">
      <alignment/>
      <protection/>
    </xf>
    <xf numFmtId="0" fontId="0" fillId="0" borderId="10" xfId="62" applyFont="1" applyFill="1" applyBorder="1" applyAlignment="1">
      <alignment horizontal="center" vertical="top" wrapText="1"/>
      <protection/>
    </xf>
    <xf numFmtId="0" fontId="0" fillId="0" borderId="10" xfId="62" applyFont="1" applyFill="1" applyBorder="1" applyAlignment="1">
      <alignment vertical="center" wrapText="1"/>
      <protection/>
    </xf>
    <xf numFmtId="2" fontId="21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61" applyNumberFormat="1" applyFont="1" applyFill="1" applyBorder="1" applyAlignment="1">
      <alignment horizontal="center" vertical="top" wrapText="1"/>
      <protection/>
    </xf>
    <xf numFmtId="49" fontId="0" fillId="0" borderId="10" xfId="61" applyNumberFormat="1" applyFont="1" applyFill="1" applyBorder="1" applyAlignment="1">
      <alignment vertical="top" wrapText="1"/>
      <protection/>
    </xf>
    <xf numFmtId="2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top" wrapText="1"/>
      <protection/>
    </xf>
    <xf numFmtId="2" fontId="21" fillId="0" borderId="10" xfId="62" applyNumberFormat="1" applyFont="1" applyFill="1" applyBorder="1" applyAlignment="1">
      <alignment horizontal="center" vertical="top" wrapText="1"/>
      <protection/>
    </xf>
    <xf numFmtId="0" fontId="0" fillId="0" borderId="17" xfId="62" applyFont="1" applyFill="1" applyBorder="1" applyAlignment="1">
      <alignment horizontal="center" vertical="top" wrapText="1"/>
      <protection/>
    </xf>
    <xf numFmtId="0" fontId="0" fillId="0" borderId="17" xfId="62" applyFont="1" applyFill="1" applyBorder="1" applyAlignment="1">
      <alignment vertical="top" wrapText="1"/>
      <protection/>
    </xf>
    <xf numFmtId="2" fontId="0" fillId="0" borderId="17" xfId="62" applyNumberFormat="1" applyFont="1" applyFill="1" applyBorder="1" applyAlignment="1">
      <alignment horizontal="center" vertical="top" wrapText="1"/>
      <protection/>
    </xf>
    <xf numFmtId="1" fontId="0" fillId="0" borderId="0" xfId="62" applyNumberFormat="1" applyFont="1" applyFill="1">
      <alignment/>
      <protection/>
    </xf>
    <xf numFmtId="0" fontId="23" fillId="0" borderId="11" xfId="64" applyNumberFormat="1" applyFont="1" applyFill="1" applyBorder="1" applyAlignment="1">
      <alignment vertical="top" wrapText="1"/>
      <protection/>
    </xf>
    <xf numFmtId="0" fontId="0" fillId="0" borderId="10" xfId="56" applyFont="1" applyFill="1" applyBorder="1" applyAlignment="1">
      <alignment horizontal="left" vertical="top" wrapText="1"/>
      <protection/>
    </xf>
    <xf numFmtId="4" fontId="23" fillId="0" borderId="30" xfId="56" applyNumberFormat="1" applyFont="1" applyFill="1" applyBorder="1" applyAlignment="1">
      <alignment horizontal="right"/>
      <protection/>
    </xf>
    <xf numFmtId="0" fontId="23" fillId="0" borderId="33" xfId="56" applyFont="1" applyFill="1" applyBorder="1" applyAlignment="1">
      <alignment horizontal="center" wrapText="1"/>
      <protection/>
    </xf>
    <xf numFmtId="4" fontId="23" fillId="0" borderId="33" xfId="56" applyNumberFormat="1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wrapText="1"/>
    </xf>
    <xf numFmtId="0" fontId="0" fillId="0" borderId="29" xfId="56" applyFont="1" applyFill="1" applyBorder="1" applyAlignment="1">
      <alignment horizontal="center" wrapText="1"/>
      <protection/>
    </xf>
    <xf numFmtId="0" fontId="51" fillId="0" borderId="10" xfId="56" applyFont="1" applyFill="1" applyBorder="1" applyAlignment="1">
      <alignment horizontal="center" wrapText="1"/>
      <protection/>
    </xf>
    <xf numFmtId="0" fontId="0" fillId="0" borderId="22" xfId="56" applyFont="1" applyFill="1" applyBorder="1" applyAlignment="1">
      <alignment horizontal="left" wrapText="1"/>
      <protection/>
    </xf>
    <xf numFmtId="1" fontId="0" fillId="0" borderId="10" xfId="62" applyNumberFormat="1" applyFont="1" applyFill="1" applyBorder="1" applyAlignment="1">
      <alignment horizontal="center" vertical="center" wrapText="1"/>
      <protection/>
    </xf>
    <xf numFmtId="1" fontId="21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1" fontId="21" fillId="0" borderId="10" xfId="62" applyNumberFormat="1" applyFont="1" applyFill="1" applyBorder="1" applyAlignment="1">
      <alignment horizontal="center" vertical="top" wrapText="1"/>
      <protection/>
    </xf>
    <xf numFmtId="1" fontId="0" fillId="0" borderId="10" xfId="62" applyNumberFormat="1" applyFont="1" applyFill="1" applyBorder="1" applyAlignment="1">
      <alignment horizontal="center" vertical="top" wrapText="1"/>
      <protection/>
    </xf>
    <xf numFmtId="1" fontId="0" fillId="0" borderId="17" xfId="62" applyNumberFormat="1" applyFont="1" applyFill="1" applyBorder="1" applyAlignment="1">
      <alignment horizontal="center" vertical="top" wrapText="1"/>
      <protection/>
    </xf>
    <xf numFmtId="4" fontId="20" fillId="0" borderId="43" xfId="0" applyNumberFormat="1" applyFont="1" applyFill="1" applyBorder="1" applyAlignment="1">
      <alignment horizontal="right" vertical="top"/>
    </xf>
    <xf numFmtId="49" fontId="0" fillId="0" borderId="0" xfId="56" applyNumberFormat="1" applyFont="1" applyFill="1" applyBorder="1" applyAlignment="1">
      <alignment horizontal="left" wrapText="1"/>
      <protection/>
    </xf>
    <xf numFmtId="0" fontId="52" fillId="0" borderId="10" xfId="56" applyFont="1" applyFill="1" applyBorder="1" applyAlignment="1">
      <alignment horizontal="left" wrapText="1"/>
      <protection/>
    </xf>
    <xf numFmtId="0" fontId="52" fillId="0" borderId="10" xfId="56" applyFont="1" applyFill="1" applyBorder="1" applyAlignment="1">
      <alignment horizontal="center" wrapText="1"/>
      <protection/>
    </xf>
    <xf numFmtId="0" fontId="52" fillId="0" borderId="10" xfId="56" applyFont="1" applyFill="1" applyBorder="1" applyAlignment="1">
      <alignment horizontal="center"/>
      <protection/>
    </xf>
    <xf numFmtId="4" fontId="52" fillId="0" borderId="10" xfId="56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horizontal="center" wrapText="1"/>
      <protection/>
    </xf>
    <xf numFmtId="0" fontId="23" fillId="0" borderId="32" xfId="56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49" fontId="0" fillId="0" borderId="0" xfId="62" applyNumberFormat="1" applyFont="1" applyAlignment="1">
      <alignment horizontal="right"/>
      <protection/>
    </xf>
    <xf numFmtId="0" fontId="19" fillId="0" borderId="32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top" wrapText="1"/>
      <protection/>
    </xf>
    <xf numFmtId="0" fontId="20" fillId="0" borderId="21" xfId="62" applyFont="1" applyBorder="1" applyAlignment="1">
      <alignment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0" fontId="0" fillId="0" borderId="10" xfId="62" applyFont="1" applyBorder="1" applyAlignment="1">
      <alignment vertical="center" wrapText="1"/>
      <protection/>
    </xf>
    <xf numFmtId="1" fontId="21" fillId="0" borderId="10" xfId="62" applyNumberFormat="1" applyFont="1" applyBorder="1" applyAlignment="1">
      <alignment horizontal="center" vertical="center" wrapText="1"/>
      <protection/>
    </xf>
    <xf numFmtId="49" fontId="0" fillId="0" borderId="10" xfId="61" applyNumberFormat="1" applyFont="1" applyBorder="1" applyAlignment="1">
      <alignment horizontal="center" vertical="top" wrapText="1"/>
      <protection/>
    </xf>
    <xf numFmtId="49" fontId="0" fillId="0" borderId="10" xfId="61" applyNumberFormat="1" applyFont="1" applyBorder="1" applyAlignment="1">
      <alignment vertical="top" wrapText="1"/>
      <protection/>
    </xf>
    <xf numFmtId="0" fontId="0" fillId="0" borderId="10" xfId="62" applyFont="1" applyBorder="1" applyAlignment="1">
      <alignment vertical="top" wrapText="1"/>
      <protection/>
    </xf>
    <xf numFmtId="0" fontId="0" fillId="0" borderId="17" xfId="62" applyFont="1" applyBorder="1" applyAlignment="1">
      <alignment horizontal="center" vertical="top" wrapText="1"/>
      <protection/>
    </xf>
    <xf numFmtId="0" fontId="0" fillId="0" borderId="17" xfId="62" applyFont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4" fontId="0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49" fontId="0" fillId="0" borderId="18" xfId="0" applyNumberFormat="1" applyFont="1" applyFill="1" applyBorder="1" applyAlignment="1">
      <alignment horizontal="center" vertical="top" wrapText="1"/>
    </xf>
    <xf numFmtId="0" fontId="29" fillId="0" borderId="44" xfId="56" applyFont="1" applyFill="1" applyBorder="1" applyAlignment="1">
      <alignment horizontal="center" vertical="center" wrapText="1"/>
      <protection/>
    </xf>
    <xf numFmtId="0" fontId="29" fillId="0" borderId="19" xfId="56" applyFont="1" applyFill="1" applyBorder="1" applyAlignment="1">
      <alignment horizontal="center" vertical="center" wrapText="1"/>
      <protection/>
    </xf>
    <xf numFmtId="0" fontId="53" fillId="0" borderId="12" xfId="0" applyFont="1" applyBorder="1" applyAlignment="1">
      <alignment wrapText="1"/>
    </xf>
    <xf numFmtId="0" fontId="20" fillId="24" borderId="10" xfId="56" applyFont="1" applyFill="1" applyBorder="1" applyAlignment="1">
      <alignment horizontal="left" wrapText="1"/>
      <protection/>
    </xf>
    <xf numFmtId="0" fontId="24" fillId="24" borderId="10" xfId="56" applyFont="1" applyFill="1" applyBorder="1" applyAlignment="1">
      <alignment horizontal="left" wrapText="1"/>
      <protection/>
    </xf>
    <xf numFmtId="0" fontId="25" fillId="24" borderId="10" xfId="56" applyFont="1" applyFill="1" applyBorder="1" applyAlignment="1">
      <alignment wrapText="1"/>
      <protection/>
    </xf>
    <xf numFmtId="0" fontId="0" fillId="25" borderId="10" xfId="0" applyFill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5" fillId="24" borderId="10" xfId="56" applyFont="1" applyFill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4" borderId="10" xfId="56" applyFont="1" applyFill="1" applyBorder="1" applyAlignment="1">
      <alignment horizontal="left" wrapText="1"/>
      <protection/>
    </xf>
    <xf numFmtId="0" fontId="25" fillId="24" borderId="10" xfId="58" applyFont="1" applyFill="1" applyBorder="1" applyAlignment="1">
      <alignment horizontal="left" wrapText="1"/>
      <protection/>
    </xf>
    <xf numFmtId="0" fontId="23" fillId="24" borderId="10" xfId="58" applyFont="1" applyFill="1" applyBorder="1" applyAlignment="1">
      <alignment horizontal="center" wrapText="1"/>
      <protection/>
    </xf>
    <xf numFmtId="0" fontId="23" fillId="24" borderId="17" xfId="58" applyFont="1" applyFill="1" applyBorder="1" applyAlignment="1">
      <alignment horizontal="center" wrapText="1"/>
      <protection/>
    </xf>
    <xf numFmtId="0" fontId="23" fillId="24" borderId="22" xfId="58" applyFont="1" applyFill="1" applyBorder="1" applyAlignment="1">
      <alignment horizontal="center" wrapText="1"/>
      <protection/>
    </xf>
    <xf numFmtId="0" fontId="23" fillId="25" borderId="10" xfId="64" applyNumberFormat="1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wrapText="1"/>
    </xf>
    <xf numFmtId="0" fontId="0" fillId="25" borderId="10" xfId="0" applyNumberFormat="1" applyFont="1" applyFill="1" applyBorder="1" applyAlignment="1">
      <alignment vertical="top" wrapText="1"/>
    </xf>
    <xf numFmtId="0" fontId="23" fillId="24" borderId="11" xfId="56" applyFont="1" applyFill="1" applyBorder="1" applyAlignment="1">
      <alignment horizontal="left" wrapText="1"/>
      <protection/>
    </xf>
    <xf numFmtId="0" fontId="38" fillId="0" borderId="11" xfId="54" applyFont="1" applyBorder="1" applyAlignment="1">
      <alignment vertical="center" wrapText="1"/>
      <protection/>
    </xf>
    <xf numFmtId="0" fontId="34" fillId="0" borderId="10" xfId="0" applyFont="1" applyBorder="1" applyAlignment="1">
      <alignment wrapText="1"/>
    </xf>
    <xf numFmtId="206" fontId="0" fillId="24" borderId="10" xfId="54" applyNumberFormat="1" applyFont="1" applyFill="1" applyBorder="1" applyAlignment="1" applyProtection="1">
      <alignment horizontal="left" wrapText="1"/>
      <protection hidden="1"/>
    </xf>
    <xf numFmtId="0" fontId="0" fillId="25" borderId="10" xfId="64" applyNumberFormat="1" applyFont="1" applyFill="1" applyBorder="1" applyAlignment="1">
      <alignment vertical="top" wrapText="1"/>
      <protection/>
    </xf>
    <xf numFmtId="0" fontId="0" fillId="24" borderId="10" xfId="56" applyFont="1" applyFill="1" applyBorder="1" applyAlignment="1">
      <alignment horizontal="left" wrapText="1"/>
      <protection/>
    </xf>
    <xf numFmtId="0" fontId="30" fillId="0" borderId="29" xfId="0" applyFont="1" applyBorder="1" applyAlignment="1">
      <alignment wrapText="1"/>
    </xf>
    <xf numFmtId="0" fontId="24" fillId="24" borderId="21" xfId="56" applyFont="1" applyFill="1" applyBorder="1" applyAlignment="1">
      <alignment horizontal="left" wrapText="1"/>
      <protection/>
    </xf>
    <xf numFmtId="0" fontId="0" fillId="25" borderId="1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 wrapText="1"/>
    </xf>
    <xf numFmtId="0" fontId="38" fillId="0" borderId="10" xfId="54" applyFont="1" applyBorder="1" applyAlignment="1">
      <alignment vertical="center" wrapText="1"/>
      <protection/>
    </xf>
    <xf numFmtId="49" fontId="18" fillId="0" borderId="0" xfId="0" applyNumberFormat="1" applyFont="1" applyBorder="1" applyAlignment="1">
      <alignment/>
    </xf>
    <xf numFmtId="0" fontId="23" fillId="24" borderId="10" xfId="56" applyFont="1" applyFill="1" applyBorder="1" applyAlignment="1">
      <alignment horizontal="center"/>
      <protection/>
    </xf>
    <xf numFmtId="0" fontId="23" fillId="24" borderId="10" xfId="56" applyFont="1" applyFill="1" applyBorder="1" applyAlignment="1">
      <alignment horizontal="center" wrapText="1"/>
      <protection/>
    </xf>
    <xf numFmtId="0" fontId="20" fillId="24" borderId="21" xfId="56" applyFont="1" applyFill="1" applyBorder="1" applyAlignment="1">
      <alignment horizontal="left" wrapText="1"/>
      <protection/>
    </xf>
    <xf numFmtId="4" fontId="25" fillId="24" borderId="0" xfId="56" applyNumberFormat="1" applyFont="1" applyFill="1" applyBorder="1" applyAlignment="1">
      <alignment horizontal="right"/>
      <protection/>
    </xf>
    <xf numFmtId="4" fontId="23" fillId="24" borderId="0" xfId="56" applyNumberFormat="1" applyFont="1" applyFill="1" applyBorder="1" applyAlignment="1">
      <alignment horizontal="right"/>
      <protection/>
    </xf>
    <xf numFmtId="0" fontId="23" fillId="24" borderId="21" xfId="56" applyFont="1" applyFill="1" applyBorder="1" applyAlignment="1">
      <alignment horizontal="center" wrapText="1"/>
      <protection/>
    </xf>
    <xf numFmtId="0" fontId="23" fillId="24" borderId="17" xfId="56" applyFont="1" applyFill="1" applyBorder="1" applyAlignment="1">
      <alignment horizontal="left" wrapText="1"/>
      <protection/>
    </xf>
    <xf numFmtId="0" fontId="23" fillId="24" borderId="17" xfId="56" applyFont="1" applyFill="1" applyBorder="1" applyAlignment="1">
      <alignment horizontal="center" wrapText="1"/>
      <protection/>
    </xf>
    <xf numFmtId="0" fontId="0" fillId="26" borderId="10" xfId="56" applyFont="1" applyFill="1" applyBorder="1" applyAlignment="1">
      <alignment horizontal="left" wrapText="1"/>
      <protection/>
    </xf>
    <xf numFmtId="0" fontId="0" fillId="27" borderId="10" xfId="58" applyFont="1" applyFill="1" applyBorder="1" applyAlignment="1">
      <alignment horizontal="center"/>
      <protection/>
    </xf>
    <xf numFmtId="0" fontId="0" fillId="27" borderId="10" xfId="58" applyFont="1" applyFill="1" applyBorder="1" applyAlignment="1">
      <alignment horizontal="center" wrapText="1"/>
      <protection/>
    </xf>
    <xf numFmtId="0" fontId="23" fillId="24" borderId="29" xfId="58" applyFont="1" applyFill="1" applyBorder="1" applyAlignment="1">
      <alignment horizontal="center" wrapText="1"/>
      <protection/>
    </xf>
    <xf numFmtId="0" fontId="24" fillId="0" borderId="21" xfId="56" applyFont="1" applyFill="1" applyBorder="1" applyAlignment="1">
      <alignment horizontal="left" vertical="top" wrapText="1"/>
      <protection/>
    </xf>
    <xf numFmtId="0" fontId="24" fillId="0" borderId="21" xfId="56" applyFont="1" applyFill="1" applyBorder="1" applyAlignment="1">
      <alignment horizontal="center" vertical="top" wrapText="1"/>
      <protection/>
    </xf>
    <xf numFmtId="4" fontId="24" fillId="0" borderId="21" xfId="56" applyNumberFormat="1" applyFont="1" applyFill="1" applyBorder="1" applyAlignment="1">
      <alignment horizontal="right" vertical="top"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4" fontId="25" fillId="0" borderId="10" xfId="56" applyNumberFormat="1" applyFont="1" applyFill="1" applyBorder="1" applyAlignment="1">
      <alignment horizontal="right" vertical="top"/>
      <protection/>
    </xf>
    <xf numFmtId="4" fontId="0" fillId="26" borderId="11" xfId="0" applyNumberFormat="1" applyFont="1" applyFill="1" applyBorder="1" applyAlignment="1">
      <alignment/>
    </xf>
    <xf numFmtId="4" fontId="0" fillId="26" borderId="10" xfId="56" applyNumberFormat="1" applyFont="1" applyFill="1" applyBorder="1" applyAlignment="1">
      <alignment horizontal="right"/>
      <protection/>
    </xf>
    <xf numFmtId="49" fontId="40" fillId="0" borderId="10" xfId="56" applyNumberFormat="1" applyFont="1" applyFill="1" applyBorder="1" applyAlignment="1">
      <alignment horizontal="left" wrapText="1"/>
      <protection/>
    </xf>
    <xf numFmtId="49" fontId="41" fillId="0" borderId="32" xfId="63" applyNumberFormat="1" applyFont="1" applyFill="1" applyBorder="1" applyAlignment="1">
      <alignment vertical="top" wrapText="1"/>
      <protection/>
    </xf>
    <xf numFmtId="49" fontId="0" fillId="0" borderId="10" xfId="58" applyNumberFormat="1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horizontal="right" wrapText="1"/>
      <protection/>
    </xf>
    <xf numFmtId="4" fontId="23" fillId="26" borderId="10" xfId="56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center" wrapText="1"/>
      <protection/>
    </xf>
    <xf numFmtId="49" fontId="18" fillId="0" borderId="0" xfId="0" applyNumberFormat="1" applyFont="1" applyFill="1" applyBorder="1" applyAlignment="1">
      <alignment horizontal="right"/>
    </xf>
    <xf numFmtId="0" fontId="0" fillId="0" borderId="0" xfId="62" applyFont="1" applyBorder="1" applyAlignment="1">
      <alignment horizontal="center" wrapText="1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56" applyFont="1" applyFill="1" applyAlignment="1">
      <alignment horizontal="center" vertical="center" wrapText="1"/>
      <protection/>
    </xf>
    <xf numFmtId="49" fontId="1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3" fontId="20" fillId="0" borderId="14" xfId="0" applyNumberFormat="1" applyFont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3" fontId="20" fillId="0" borderId="47" xfId="0" applyNumberFormat="1" applyFont="1" applyBorder="1" applyAlignment="1">
      <alignment horizontal="center" vertical="top" wrapText="1"/>
    </xf>
    <xf numFmtId="3" fontId="20" fillId="0" borderId="48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3" fontId="0" fillId="0" borderId="45" xfId="0" applyNumberFormat="1" applyFont="1" applyBorder="1" applyAlignment="1">
      <alignment horizontal="center" vertical="top" wrapText="1"/>
    </xf>
    <xf numFmtId="3" fontId="0" fillId="0" borderId="46" xfId="0" applyNumberFormat="1" applyFont="1" applyBorder="1" applyAlignment="1">
      <alignment horizontal="center" vertical="top" wrapText="1"/>
    </xf>
    <xf numFmtId="49" fontId="0" fillId="0" borderId="14" xfId="60" applyNumberFormat="1" applyFont="1" applyBorder="1" applyAlignment="1">
      <alignment vertical="top" wrapText="1"/>
      <protection/>
    </xf>
    <xf numFmtId="49" fontId="0" fillId="0" borderId="14" xfId="60" applyNumberFormat="1" applyFont="1" applyBorder="1" applyAlignment="1">
      <alignment horizontal="center"/>
      <protection/>
    </xf>
    <xf numFmtId="49" fontId="19" fillId="0" borderId="12" xfId="60" applyNumberFormat="1" applyFont="1" applyBorder="1" applyAlignment="1">
      <alignment horizontal="center" vertical="center" wrapText="1"/>
      <protection/>
    </xf>
    <xf numFmtId="49" fontId="0" fillId="0" borderId="15" xfId="60" applyNumberFormat="1" applyFont="1" applyBorder="1" applyAlignment="1">
      <alignment horizontal="center" vertical="top" wrapText="1"/>
      <protection/>
    </xf>
    <xf numFmtId="49" fontId="0" fillId="0" borderId="15" xfId="60" applyNumberFormat="1" applyFont="1" applyBorder="1" applyAlignment="1">
      <alignment vertical="top" wrapText="1"/>
      <protection/>
    </xf>
    <xf numFmtId="49" fontId="0" fillId="0" borderId="47" xfId="60" applyNumberFormat="1" applyFont="1" applyBorder="1" applyAlignment="1">
      <alignment horizontal="left" vertical="top" wrapText="1"/>
      <protection/>
    </xf>
    <xf numFmtId="49" fontId="0" fillId="0" borderId="51" xfId="60" applyNumberFormat="1" applyFont="1" applyBorder="1" applyAlignment="1">
      <alignment horizontal="left" vertical="top" wrapText="1"/>
      <protection/>
    </xf>
    <xf numFmtId="49" fontId="0" fillId="0" borderId="48" xfId="60" applyNumberFormat="1" applyFont="1" applyBorder="1" applyAlignment="1">
      <alignment horizontal="left" vertical="top" wrapText="1"/>
      <protection/>
    </xf>
    <xf numFmtId="49" fontId="0" fillId="0" borderId="47" xfId="60" applyNumberFormat="1" applyFont="1" applyBorder="1" applyAlignment="1">
      <alignment horizontal="center"/>
      <protection/>
    </xf>
    <xf numFmtId="49" fontId="0" fillId="0" borderId="51" xfId="60" applyNumberFormat="1" applyFont="1" applyBorder="1" applyAlignment="1">
      <alignment horizontal="center"/>
      <protection/>
    </xf>
    <xf numFmtId="49" fontId="0" fillId="0" borderId="48" xfId="60" applyNumberFormat="1" applyFont="1" applyBorder="1" applyAlignment="1">
      <alignment horizontal="center"/>
      <protection/>
    </xf>
    <xf numFmtId="49" fontId="0" fillId="0" borderId="49" xfId="60" applyNumberFormat="1" applyFont="1" applyBorder="1" applyAlignment="1">
      <alignment horizontal="left" vertical="top" wrapText="1"/>
      <protection/>
    </xf>
    <xf numFmtId="49" fontId="0" fillId="0" borderId="52" xfId="60" applyNumberFormat="1" applyFont="1" applyBorder="1" applyAlignment="1">
      <alignment horizontal="left" vertical="top" wrapText="1"/>
      <protection/>
    </xf>
    <xf numFmtId="49" fontId="0" fillId="0" borderId="50" xfId="60" applyNumberFormat="1" applyFont="1" applyBorder="1" applyAlignment="1">
      <alignment horizontal="left" vertical="top" wrapText="1"/>
      <protection/>
    </xf>
    <xf numFmtId="49" fontId="0" fillId="0" borderId="49" xfId="60" applyNumberFormat="1" applyFont="1" applyBorder="1" applyAlignment="1">
      <alignment horizontal="center" vertical="top" wrapText="1"/>
      <protection/>
    </xf>
    <xf numFmtId="49" fontId="0" fillId="0" borderId="52" xfId="60" applyNumberFormat="1" applyFont="1" applyBorder="1" applyAlignment="1">
      <alignment horizontal="center" vertical="top" wrapText="1"/>
      <protection/>
    </xf>
    <xf numFmtId="49" fontId="0" fillId="0" borderId="50" xfId="60" applyNumberFormat="1" applyFont="1" applyBorder="1" applyAlignment="1">
      <alignment horizontal="center" vertical="top" wrapText="1"/>
      <protection/>
    </xf>
    <xf numFmtId="49" fontId="0" fillId="0" borderId="0" xfId="62" applyNumberFormat="1" applyFont="1" applyBorder="1" applyAlignment="1">
      <alignment horizontal="right"/>
      <protection/>
    </xf>
    <xf numFmtId="205" fontId="0" fillId="0" borderId="0" xfId="62" applyNumberFormat="1" applyFont="1">
      <alignment/>
      <protection/>
    </xf>
    <xf numFmtId="2" fontId="0" fillId="0" borderId="10" xfId="62" applyNumberFormat="1" applyFont="1" applyFill="1" applyBorder="1" applyAlignment="1">
      <alignment horizontal="center" vertical="top" wrapText="1"/>
      <protection/>
    </xf>
    <xf numFmtId="1" fontId="0" fillId="0" borderId="0" xfId="62" applyNumberFormat="1" applyFont="1">
      <alignment/>
      <protection/>
    </xf>
    <xf numFmtId="49" fontId="0" fillId="26" borderId="0" xfId="0" applyNumberFormat="1" applyFont="1" applyFill="1" applyAlignment="1">
      <alignment horizontal="right"/>
    </xf>
    <xf numFmtId="49" fontId="19" fillId="26" borderId="28" xfId="0" applyNumberFormat="1" applyFont="1" applyFill="1" applyBorder="1" applyAlignment="1">
      <alignment horizontal="center" vertical="center" wrapText="1"/>
    </xf>
    <xf numFmtId="49" fontId="19" fillId="26" borderId="27" xfId="0" applyNumberFormat="1" applyFont="1" applyFill="1" applyBorder="1" applyAlignment="1">
      <alignment horizontal="center" vertical="top" wrapText="1"/>
    </xf>
    <xf numFmtId="4" fontId="20" fillId="26" borderId="43" xfId="0" applyNumberFormat="1" applyFont="1" applyFill="1" applyBorder="1" applyAlignment="1">
      <alignment horizontal="right" vertical="top"/>
    </xf>
    <xf numFmtId="4" fontId="33" fillId="26" borderId="26" xfId="0" applyNumberFormat="1" applyFont="1" applyFill="1" applyBorder="1" applyAlignment="1">
      <alignment horizontal="right" vertical="top"/>
    </xf>
    <xf numFmtId="4" fontId="20" fillId="26" borderId="16" xfId="0" applyNumberFormat="1" applyFont="1" applyFill="1" applyBorder="1" applyAlignment="1">
      <alignment horizontal="right" vertical="top"/>
    </xf>
    <xf numFmtId="4" fontId="0" fillId="26" borderId="16" xfId="0" applyNumberFormat="1" applyFont="1" applyFill="1" applyBorder="1" applyAlignment="1">
      <alignment horizontal="right" vertical="top"/>
    </xf>
    <xf numFmtId="4" fontId="21" fillId="26" borderId="16" xfId="0" applyNumberFormat="1" applyFont="1" applyFill="1" applyBorder="1" applyAlignment="1">
      <alignment horizontal="right" vertical="top"/>
    </xf>
    <xf numFmtId="4" fontId="33" fillId="26" borderId="16" xfId="0" applyNumberFormat="1" applyFont="1" applyFill="1" applyBorder="1" applyAlignment="1">
      <alignment horizontal="right" vertical="top"/>
    </xf>
    <xf numFmtId="4" fontId="0" fillId="26" borderId="24" xfId="0" applyNumberFormat="1" applyFont="1" applyFill="1" applyBorder="1" applyAlignment="1">
      <alignment horizontal="right" vertical="top"/>
    </xf>
    <xf numFmtId="4" fontId="0" fillId="26" borderId="12" xfId="0" applyNumberFormat="1" applyFont="1" applyFill="1" applyBorder="1" applyAlignment="1">
      <alignment horizontal="right" vertical="top"/>
    </xf>
    <xf numFmtId="4" fontId="0" fillId="26" borderId="25" xfId="0" applyNumberFormat="1" applyFont="1" applyFill="1" applyBorder="1" applyAlignment="1">
      <alignment horizontal="right" vertical="top"/>
    </xf>
    <xf numFmtId="4" fontId="0" fillId="26" borderId="23" xfId="0" applyNumberFormat="1" applyFont="1" applyFill="1" applyBorder="1" applyAlignment="1">
      <alignment horizontal="right" vertical="top"/>
    </xf>
    <xf numFmtId="4" fontId="0" fillId="26" borderId="12" xfId="0" applyNumberFormat="1" applyFont="1" applyFill="1" applyBorder="1" applyAlignment="1">
      <alignment horizontal="right"/>
    </xf>
    <xf numFmtId="4" fontId="20" fillId="26" borderId="15" xfId="0" applyNumberFormat="1" applyFont="1" applyFill="1" applyBorder="1" applyAlignment="1">
      <alignment/>
    </xf>
    <xf numFmtId="4" fontId="20" fillId="26" borderId="11" xfId="0" applyNumberFormat="1" applyFont="1" applyFill="1" applyBorder="1" applyAlignment="1">
      <alignment/>
    </xf>
    <xf numFmtId="4" fontId="21" fillId="26" borderId="11" xfId="0" applyNumberFormat="1" applyFont="1" applyFill="1" applyBorder="1" applyAlignment="1">
      <alignment/>
    </xf>
    <xf numFmtId="4" fontId="0" fillId="26" borderId="12" xfId="0" applyNumberFormat="1" applyFont="1" applyFill="1" applyBorder="1" applyAlignment="1">
      <alignment/>
    </xf>
    <xf numFmtId="4" fontId="0" fillId="26" borderId="13" xfId="0" applyNumberFormat="1" applyFont="1" applyFill="1" applyBorder="1" applyAlignment="1">
      <alignment/>
    </xf>
    <xf numFmtId="4" fontId="0" fillId="26" borderId="11" xfId="0" applyNumberFormat="1" applyFill="1" applyBorder="1" applyAlignment="1">
      <alignment/>
    </xf>
    <xf numFmtId="4" fontId="0" fillId="26" borderId="14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10" xfId="56" applyFont="1" applyFill="1" applyBorder="1" applyAlignment="1">
      <alignment horizontal="center" wrapText="1"/>
      <protection/>
    </xf>
    <xf numFmtId="0" fontId="0" fillId="26" borderId="10" xfId="56" applyFont="1" applyFill="1" applyBorder="1" applyAlignment="1">
      <alignment horizontal="center"/>
      <protection/>
    </xf>
    <xf numFmtId="0" fontId="23" fillId="26" borderId="0" xfId="56" applyFont="1" applyFill="1" applyAlignment="1">
      <alignment vertical="top" wrapText="1"/>
      <protection/>
    </xf>
    <xf numFmtId="0" fontId="0" fillId="0" borderId="22" xfId="56" applyFont="1" applyFill="1" applyBorder="1" applyAlignment="1">
      <alignment horizontal="center" wrapText="1"/>
      <protection/>
    </xf>
    <xf numFmtId="0" fontId="0" fillId="0" borderId="22" xfId="56" applyFont="1" applyFill="1" applyBorder="1" applyAlignment="1">
      <alignment horizontal="center"/>
      <protection/>
    </xf>
    <xf numFmtId="4" fontId="0" fillId="0" borderId="22" xfId="56" applyNumberFormat="1" applyFont="1" applyFill="1" applyBorder="1" applyAlignment="1">
      <alignment horizontal="right"/>
      <protection/>
    </xf>
    <xf numFmtId="4" fontId="23" fillId="26" borderId="0" xfId="57" applyNumberFormat="1" applyFont="1" applyFill="1" applyAlignment="1">
      <alignment horizontal="right" vertical="top"/>
      <protection/>
    </xf>
    <xf numFmtId="4" fontId="0" fillId="26" borderId="0" xfId="0" applyNumberFormat="1" applyFont="1" applyFill="1" applyAlignment="1">
      <alignment horizontal="right"/>
    </xf>
    <xf numFmtId="4" fontId="24" fillId="26" borderId="0" xfId="56" applyNumberFormat="1" applyFont="1" applyFill="1" applyAlignment="1">
      <alignment horizontal="centerContinuous" vertical="center" wrapText="1"/>
      <protection/>
    </xf>
    <xf numFmtId="4" fontId="23" fillId="26" borderId="0" xfId="56" applyNumberFormat="1" applyFont="1" applyFill="1" applyAlignment="1">
      <alignment horizontal="right" vertical="center" wrapText="1"/>
      <protection/>
    </xf>
    <xf numFmtId="4" fontId="29" fillId="26" borderId="32" xfId="56" applyNumberFormat="1" applyFont="1" applyFill="1" applyBorder="1" applyAlignment="1">
      <alignment horizontal="center" vertical="center" wrapText="1"/>
      <protection/>
    </xf>
    <xf numFmtId="4" fontId="29" fillId="26" borderId="12" xfId="56" applyNumberFormat="1" applyFont="1" applyFill="1" applyBorder="1" applyAlignment="1">
      <alignment horizontal="center" vertical="center" wrapText="1"/>
      <protection/>
    </xf>
    <xf numFmtId="3" fontId="29" fillId="26" borderId="12" xfId="56" applyNumberFormat="1" applyFont="1" applyFill="1" applyBorder="1" applyAlignment="1">
      <alignment horizontal="center" vertical="center" wrapText="1"/>
      <protection/>
    </xf>
    <xf numFmtId="4" fontId="24" fillId="26" borderId="30" xfId="56" applyNumberFormat="1" applyFont="1" applyFill="1" applyBorder="1" applyAlignment="1">
      <alignment horizontal="right"/>
      <protection/>
    </xf>
    <xf numFmtId="4" fontId="24" fillId="26" borderId="21" xfId="56" applyNumberFormat="1" applyFont="1" applyFill="1" applyBorder="1" applyAlignment="1">
      <alignment horizontal="right"/>
      <protection/>
    </xf>
    <xf numFmtId="4" fontId="25" fillId="26" borderId="10" xfId="56" applyNumberFormat="1" applyFont="1" applyFill="1" applyBorder="1" applyAlignment="1">
      <alignment horizontal="right"/>
      <protection/>
    </xf>
    <xf numFmtId="4" fontId="21" fillId="26" borderId="10" xfId="56" applyNumberFormat="1" applyFont="1" applyFill="1" applyBorder="1" applyAlignment="1">
      <alignment horizontal="right"/>
      <protection/>
    </xf>
    <xf numFmtId="4" fontId="0" fillId="26" borderId="17" xfId="56" applyNumberFormat="1" applyFont="1" applyFill="1" applyBorder="1" applyAlignment="1">
      <alignment horizontal="right"/>
      <protection/>
    </xf>
    <xf numFmtId="4" fontId="23" fillId="26" borderId="17" xfId="56" applyNumberFormat="1" applyFont="1" applyFill="1" applyBorder="1" applyAlignment="1">
      <alignment horizontal="right"/>
      <protection/>
    </xf>
    <xf numFmtId="4" fontId="23" fillId="26" borderId="22" xfId="56" applyNumberFormat="1" applyFont="1" applyFill="1" applyBorder="1" applyAlignment="1">
      <alignment horizontal="right"/>
      <protection/>
    </xf>
    <xf numFmtId="4" fontId="26" fillId="26" borderId="21" xfId="56" applyNumberFormat="1" applyFont="1" applyFill="1" applyBorder="1" applyAlignment="1">
      <alignment horizontal="right"/>
      <protection/>
    </xf>
    <xf numFmtId="4" fontId="23" fillId="26" borderId="29" xfId="56" applyNumberFormat="1" applyFont="1" applyFill="1" applyBorder="1" applyAlignment="1">
      <alignment horizontal="right"/>
      <protection/>
    </xf>
    <xf numFmtId="4" fontId="26" fillId="26" borderId="12" xfId="56" applyNumberFormat="1" applyFont="1" applyFill="1" applyBorder="1" applyAlignment="1">
      <alignment horizontal="right"/>
      <protection/>
    </xf>
    <xf numFmtId="4" fontId="23" fillId="26" borderId="0" xfId="57" applyNumberFormat="1" applyFont="1" applyFill="1" applyAlignment="1">
      <alignment vertical="top" wrapText="1"/>
      <protection/>
    </xf>
    <xf numFmtId="0" fontId="23" fillId="0" borderId="22" xfId="56" applyFont="1" applyFill="1" applyBorder="1" applyAlignment="1">
      <alignment horizontal="left" wrapText="1"/>
      <protection/>
    </xf>
    <xf numFmtId="4" fontId="23" fillId="26" borderId="0" xfId="57" applyNumberFormat="1" applyFont="1" applyFill="1" applyAlignment="1">
      <alignment horizontal="right" vertical="center"/>
      <protection/>
    </xf>
    <xf numFmtId="4" fontId="24" fillId="26" borderId="22" xfId="56" applyNumberFormat="1" applyFont="1" applyFill="1" applyBorder="1" applyAlignment="1">
      <alignment horizontal="right"/>
      <protection/>
    </xf>
    <xf numFmtId="4" fontId="24" fillId="26" borderId="31" xfId="56" applyNumberFormat="1" applyFont="1" applyFill="1" applyBorder="1" applyAlignment="1">
      <alignment horizontal="right"/>
      <protection/>
    </xf>
    <xf numFmtId="4" fontId="25" fillId="26" borderId="21" xfId="56" applyNumberFormat="1" applyFont="1" applyFill="1" applyBorder="1" applyAlignment="1">
      <alignment horizontal="right"/>
      <protection/>
    </xf>
    <xf numFmtId="4" fontId="26" fillId="26" borderId="40" xfId="56" applyNumberFormat="1" applyFont="1" applyFill="1" applyBorder="1" applyAlignment="1">
      <alignment horizontal="right"/>
      <protection/>
    </xf>
    <xf numFmtId="0" fontId="23" fillId="26" borderId="0" xfId="57" applyFont="1" applyFill="1" applyAlignment="1">
      <alignment horizontal="right" vertical="top"/>
      <protection/>
    </xf>
    <xf numFmtId="0" fontId="23" fillId="26" borderId="0" xfId="57" applyFont="1" applyFill="1" applyAlignment="1">
      <alignment horizontal="right" vertical="center"/>
      <protection/>
    </xf>
    <xf numFmtId="0" fontId="23" fillId="26" borderId="0" xfId="56" applyFont="1" applyFill="1" applyAlignment="1">
      <alignment horizontal="right" vertical="center" wrapText="1"/>
      <protection/>
    </xf>
    <xf numFmtId="0" fontId="29" fillId="26" borderId="31" xfId="56" applyFont="1" applyFill="1" applyBorder="1" applyAlignment="1">
      <alignment horizontal="center" vertical="center" wrapText="1"/>
      <protection/>
    </xf>
    <xf numFmtId="0" fontId="29" fillId="26" borderId="35" xfId="56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wrapText="1"/>
    </xf>
    <xf numFmtId="4" fontId="23" fillId="26" borderId="12" xfId="56" applyNumberFormat="1" applyFont="1" applyFill="1" applyBorder="1" applyAlignment="1">
      <alignment vertical="top" wrapText="1"/>
      <protection/>
    </xf>
    <xf numFmtId="0" fontId="23" fillId="26" borderId="0" xfId="57" applyFont="1" applyFill="1" applyAlignment="1">
      <alignment vertical="top" wrapText="1"/>
      <protection/>
    </xf>
    <xf numFmtId="49" fontId="18" fillId="0" borderId="0" xfId="0" applyNumberFormat="1" applyFont="1" applyFill="1" applyBorder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20210219 230-6-РД об уточнении бюджете на 2021 год (приложения)" xfId="57"/>
    <cellStyle name="Обычный 3_уточнение март2019 (приложения)" xfId="58"/>
    <cellStyle name="Обычный 4" xfId="59"/>
    <cellStyle name="Обычный_198-4-РД от15122010 о бюджете 2011 прил (опубл в РайВестн №101 от17122010)_273-4-РД от16112011 о бюджете на 2012г прил (опубл №103 от23122011)" xfId="60"/>
    <cellStyle name="Обычный_198-4-РД от15122010 о бюджете 2011 прил (опубл в РайВестн №101 от17122010)_273-4-РД от16112011 о бюджете на 2012г прил (опубл №103 от23122011) 2" xfId="61"/>
    <cellStyle name="Обычный_273-4-РД от16112011 о бюджете на 2012г прил (опубл №103 от23122011)" xfId="62"/>
    <cellStyle name="Обычный_cв март (6)_сводная" xfId="63"/>
    <cellStyle name="Обычный_прил5 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3"/>
  <sheetViews>
    <sheetView showGridLines="0" zoomScaleSheetLayoutView="100" workbookViewId="0" topLeftCell="A1">
      <selection activeCell="B3" sqref="B3:C3"/>
    </sheetView>
  </sheetViews>
  <sheetFormatPr defaultColWidth="9.140625" defaultRowHeight="12.75"/>
  <cols>
    <col min="1" max="1" width="22.140625" style="56" customWidth="1"/>
    <col min="2" max="2" width="50.140625" style="56" customWidth="1"/>
    <col min="3" max="3" width="14.57421875" style="56" customWidth="1"/>
    <col min="4" max="16384" width="9.140625" style="56" customWidth="1"/>
  </cols>
  <sheetData>
    <row r="1" spans="2:3" ht="12.75">
      <c r="B1" s="369"/>
      <c r="C1" s="369" t="s">
        <v>157</v>
      </c>
    </row>
    <row r="2" spans="2:3" ht="12.75">
      <c r="B2" s="369"/>
      <c r="C2" s="36" t="s">
        <v>263</v>
      </c>
    </row>
    <row r="3" spans="2:4" ht="12.75">
      <c r="B3" s="490" t="s">
        <v>1015</v>
      </c>
      <c r="C3" s="490"/>
      <c r="D3" s="343"/>
    </row>
    <row r="4" spans="1:3" ht="12.75" customHeight="1">
      <c r="A4" s="489" t="s">
        <v>894</v>
      </c>
      <c r="B4" s="489"/>
      <c r="C4" s="489"/>
    </row>
    <row r="5" spans="1:3" ht="12.75">
      <c r="A5" s="370"/>
      <c r="C5" s="371" t="s">
        <v>582</v>
      </c>
    </row>
    <row r="6" spans="1:3" ht="33.75">
      <c r="A6" s="372" t="s">
        <v>359</v>
      </c>
      <c r="B6" s="372" t="s">
        <v>289</v>
      </c>
      <c r="C6" s="372" t="s">
        <v>35</v>
      </c>
    </row>
    <row r="7" spans="1:3" ht="12.75">
      <c r="A7" s="372">
        <v>1</v>
      </c>
      <c r="B7" s="372">
        <v>2</v>
      </c>
      <c r="C7" s="372">
        <v>3</v>
      </c>
    </row>
    <row r="8" spans="1:4" ht="25.5">
      <c r="A8" s="373" t="s">
        <v>552</v>
      </c>
      <c r="B8" s="374" t="s">
        <v>103</v>
      </c>
      <c r="C8" s="375">
        <f>C9+C14</f>
        <v>20860326.00999999</v>
      </c>
      <c r="D8" s="376"/>
    </row>
    <row r="9" spans="1:4" ht="25.5">
      <c r="A9" s="377" t="s">
        <v>105</v>
      </c>
      <c r="B9" s="378" t="s">
        <v>195</v>
      </c>
      <c r="C9" s="379">
        <f>C10+C12</f>
        <v>-4567000</v>
      </c>
      <c r="D9" s="376"/>
    </row>
    <row r="10" spans="1:4" ht="38.25">
      <c r="A10" s="380" t="s">
        <v>164</v>
      </c>
      <c r="B10" s="381" t="s">
        <v>343</v>
      </c>
      <c r="C10" s="379">
        <f>C11</f>
        <v>14786000</v>
      </c>
      <c r="D10" s="376"/>
    </row>
    <row r="11" spans="1:4" ht="38.25">
      <c r="A11" s="380" t="s">
        <v>165</v>
      </c>
      <c r="B11" s="381" t="s">
        <v>344</v>
      </c>
      <c r="C11" s="382">
        <f>19353000+11140000-3670000-4567000-7470000</f>
        <v>14786000</v>
      </c>
      <c r="D11" s="376"/>
    </row>
    <row r="12" spans="1:4" ht="38.25">
      <c r="A12" s="377" t="s">
        <v>166</v>
      </c>
      <c r="B12" s="378" t="s">
        <v>193</v>
      </c>
      <c r="C12" s="379">
        <f>C13</f>
        <v>-19353000</v>
      </c>
      <c r="D12" s="376"/>
    </row>
    <row r="13" spans="1:4" ht="38.25">
      <c r="A13" s="377" t="s">
        <v>167</v>
      </c>
      <c r="B13" s="378" t="s">
        <v>194</v>
      </c>
      <c r="C13" s="382">
        <v>-19353000</v>
      </c>
      <c r="D13" s="376"/>
    </row>
    <row r="14" spans="1:4" ht="25.5">
      <c r="A14" s="377" t="s">
        <v>251</v>
      </c>
      <c r="B14" s="383" t="s">
        <v>579</v>
      </c>
      <c r="C14" s="384">
        <f>C15+C19</f>
        <v>25427326.00999999</v>
      </c>
      <c r="D14" s="376"/>
    </row>
    <row r="15" spans="1:4" ht="12.75">
      <c r="A15" s="377" t="s">
        <v>252</v>
      </c>
      <c r="B15" s="383" t="s">
        <v>253</v>
      </c>
      <c r="C15" s="384">
        <f>C16</f>
        <v>-745877415.46</v>
      </c>
      <c r="D15" s="376"/>
    </row>
    <row r="16" spans="1:4" ht="12.75">
      <c r="A16" s="377" t="s">
        <v>254</v>
      </c>
      <c r="B16" s="383" t="s">
        <v>255</v>
      </c>
      <c r="C16" s="384">
        <f>C17</f>
        <v>-745877415.46</v>
      </c>
      <c r="D16" s="376"/>
    </row>
    <row r="17" spans="1:4" ht="25.5">
      <c r="A17" s="377" t="s">
        <v>580</v>
      </c>
      <c r="B17" s="383" t="s">
        <v>256</v>
      </c>
      <c r="C17" s="384">
        <f>C18</f>
        <v>-745877415.46</v>
      </c>
      <c r="D17" s="376"/>
    </row>
    <row r="18" spans="1:4" ht="25.5">
      <c r="A18" s="377" t="s">
        <v>257</v>
      </c>
      <c r="B18" s="383" t="s">
        <v>258</v>
      </c>
      <c r="C18" s="382">
        <f>-728378708.09-14786000-2712707.37</f>
        <v>-745877415.46</v>
      </c>
      <c r="D18" s="376"/>
    </row>
    <row r="19" spans="1:4" ht="12.75">
      <c r="A19" s="377" t="s">
        <v>646</v>
      </c>
      <c r="B19" s="383" t="s">
        <v>581</v>
      </c>
      <c r="C19" s="384">
        <f>C20</f>
        <v>771304741.47</v>
      </c>
      <c r="D19" s="376"/>
    </row>
    <row r="20" spans="1:4" ht="12.75">
      <c r="A20" s="377" t="s">
        <v>647</v>
      </c>
      <c r="B20" s="383" t="s">
        <v>648</v>
      </c>
      <c r="C20" s="384">
        <f>C21</f>
        <v>771304741.47</v>
      </c>
      <c r="D20" s="376"/>
    </row>
    <row r="21" spans="1:4" ht="25.5">
      <c r="A21" s="377" t="s">
        <v>649</v>
      </c>
      <c r="B21" s="383" t="s">
        <v>650</v>
      </c>
      <c r="C21" s="384">
        <f>C22</f>
        <v>771304741.47</v>
      </c>
      <c r="D21" s="376"/>
    </row>
    <row r="22" spans="1:4" ht="25.5">
      <c r="A22" s="385" t="s">
        <v>651</v>
      </c>
      <c r="B22" s="386" t="s">
        <v>652</v>
      </c>
      <c r="C22" s="387">
        <f>749239034.1+19353000+2712707.37</f>
        <v>771304741.47</v>
      </c>
      <c r="D22" s="376"/>
    </row>
    <row r="23" ht="12.75">
      <c r="C23" s="388"/>
    </row>
  </sheetData>
  <sheetProtection/>
  <mergeCells count="2">
    <mergeCell ref="A4:C4"/>
    <mergeCell ref="B3:C3"/>
  </mergeCells>
  <printOptions/>
  <pageMargins left="0.984251968503937" right="0.3937007874015748" top="0.5905511811023623" bottom="0.3937007874015748" header="0.5118110236220472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98"/>
  <sheetViews>
    <sheetView showGridLines="0" zoomScaleSheetLayoutView="100" zoomScalePageLayoutView="0" workbookViewId="0" topLeftCell="A277">
      <selection activeCell="A3" sqref="A3:E3"/>
    </sheetView>
  </sheetViews>
  <sheetFormatPr defaultColWidth="9.140625" defaultRowHeight="12.75"/>
  <cols>
    <col min="1" max="1" width="46.00390625" style="102" customWidth="1"/>
    <col min="2" max="2" width="13.421875" style="102" bestFit="1" customWidth="1"/>
    <col min="3" max="3" width="4.57421875" style="102" customWidth="1"/>
    <col min="4" max="5" width="14.00390625" style="593" customWidth="1"/>
    <col min="6" max="7" width="10.00390625" style="102" bestFit="1" customWidth="1"/>
    <col min="8" max="16384" width="9.140625" style="102" customWidth="1"/>
  </cols>
  <sheetData>
    <row r="1" spans="1:5" ht="12.75">
      <c r="A1" s="100"/>
      <c r="B1" s="101"/>
      <c r="C1" s="101"/>
      <c r="D1" s="586"/>
      <c r="E1" s="586" t="s">
        <v>443</v>
      </c>
    </row>
    <row r="2" spans="1:5" ht="12.75">
      <c r="A2" s="100"/>
      <c r="B2" s="101"/>
      <c r="C2" s="101"/>
      <c r="D2" s="534"/>
      <c r="E2" s="534" t="s">
        <v>263</v>
      </c>
    </row>
    <row r="3" spans="1:5" ht="12.75">
      <c r="A3" s="496" t="s">
        <v>1017</v>
      </c>
      <c r="B3" s="496"/>
      <c r="C3" s="496"/>
      <c r="D3" s="496"/>
      <c r="E3" s="496"/>
    </row>
    <row r="4" spans="1:5" ht="12.75">
      <c r="A4" s="103"/>
      <c r="B4" s="101"/>
      <c r="C4" s="101"/>
      <c r="D4" s="587"/>
      <c r="E4" s="587"/>
    </row>
    <row r="5" spans="1:5" ht="51" customHeight="1">
      <c r="A5" s="495" t="s">
        <v>925</v>
      </c>
      <c r="B5" s="495"/>
      <c r="C5" s="495"/>
      <c r="D5" s="495"/>
      <c r="E5" s="495"/>
    </row>
    <row r="6" spans="1:5" ht="12.75">
      <c r="A6" s="182"/>
      <c r="B6" s="182"/>
      <c r="C6" s="182"/>
      <c r="D6" s="588"/>
      <c r="E6" s="588" t="s">
        <v>88</v>
      </c>
    </row>
    <row r="7" spans="1:5" ht="22.5">
      <c r="A7" s="180" t="s">
        <v>84</v>
      </c>
      <c r="B7" s="180" t="s">
        <v>525</v>
      </c>
      <c r="C7" s="180" t="s">
        <v>526</v>
      </c>
      <c r="D7" s="589" t="s">
        <v>597</v>
      </c>
      <c r="E7" s="589" t="s">
        <v>924</v>
      </c>
    </row>
    <row r="8" spans="1:7" ht="12.75">
      <c r="A8" s="271" t="s">
        <v>72</v>
      </c>
      <c r="B8" s="271">
        <v>2</v>
      </c>
      <c r="C8" s="271">
        <v>3</v>
      </c>
      <c r="D8" s="590">
        <v>4</v>
      </c>
      <c r="E8" s="590">
        <v>4</v>
      </c>
      <c r="F8" s="121"/>
      <c r="G8" s="121"/>
    </row>
    <row r="9" spans="1:5" ht="12.75">
      <c r="A9" s="177" t="s">
        <v>89</v>
      </c>
      <c r="B9" s="176" t="s">
        <v>87</v>
      </c>
      <c r="C9" s="176" t="s">
        <v>87</v>
      </c>
      <c r="D9" s="569">
        <f>D10+D23+D71+D138+D144+D161+D177+D196+D205+D212+D223+D227+D237+D241+D246+D250+D259+D267+D273+D294+D298</f>
        <v>483356646</v>
      </c>
      <c r="E9" s="569">
        <f>E10+E23+E71+E138+E144+E161+E177+E196+E205+E212+E223+E227+E237+E241+E246+E250+E259+E267+E273+E294+E298</f>
        <v>444041858.38</v>
      </c>
    </row>
    <row r="10" spans="1:5" ht="25.5">
      <c r="A10" s="269" t="s">
        <v>15</v>
      </c>
      <c r="B10" s="268" t="s">
        <v>315</v>
      </c>
      <c r="C10" s="267" t="s">
        <v>87</v>
      </c>
      <c r="D10" s="576">
        <f>D11+D17</f>
        <v>28550829</v>
      </c>
      <c r="E10" s="576">
        <f>E11+E17</f>
        <v>26809744</v>
      </c>
    </row>
    <row r="11" spans="1:5" ht="27" customHeight="1">
      <c r="A11" s="4" t="s">
        <v>586</v>
      </c>
      <c r="B11" s="196" t="s">
        <v>316</v>
      </c>
      <c r="C11" s="195" t="s">
        <v>87</v>
      </c>
      <c r="D11" s="571">
        <f>D12</f>
        <v>5429723</v>
      </c>
      <c r="E11" s="571">
        <f>E12</f>
        <v>5096823</v>
      </c>
    </row>
    <row r="12" spans="1:5" ht="25.5">
      <c r="A12" s="8" t="s">
        <v>483</v>
      </c>
      <c r="B12" s="196" t="s">
        <v>317</v>
      </c>
      <c r="C12" s="195"/>
      <c r="D12" s="571">
        <f>D13</f>
        <v>5429723</v>
      </c>
      <c r="E12" s="571">
        <f>E13</f>
        <v>5096823</v>
      </c>
    </row>
    <row r="13" spans="1:5" ht="25.5">
      <c r="A13" s="198" t="s">
        <v>733</v>
      </c>
      <c r="B13" s="196" t="s">
        <v>318</v>
      </c>
      <c r="C13" s="195" t="s">
        <v>87</v>
      </c>
      <c r="D13" s="571">
        <f>SUM(D14:D16)</f>
        <v>5429723</v>
      </c>
      <c r="E13" s="571">
        <f>SUM(E14:E16)</f>
        <v>5096823</v>
      </c>
    </row>
    <row r="14" spans="1:5" ht="63.75">
      <c r="A14" s="5" t="s">
        <v>735</v>
      </c>
      <c r="B14" s="196" t="s">
        <v>318</v>
      </c>
      <c r="C14" s="195">
        <v>100</v>
      </c>
      <c r="D14" s="488">
        <v>5205523</v>
      </c>
      <c r="E14" s="488">
        <v>4886368</v>
      </c>
    </row>
    <row r="15" spans="1:5" ht="25.5">
      <c r="A15" s="5" t="s">
        <v>228</v>
      </c>
      <c r="B15" s="196" t="s">
        <v>318</v>
      </c>
      <c r="C15" s="195">
        <v>200</v>
      </c>
      <c r="D15" s="488">
        <v>191304</v>
      </c>
      <c r="E15" s="488">
        <v>179576</v>
      </c>
    </row>
    <row r="16" spans="1:5" ht="12.75">
      <c r="A16" s="5" t="s">
        <v>77</v>
      </c>
      <c r="B16" s="196" t="s">
        <v>318</v>
      </c>
      <c r="C16" s="195">
        <v>800</v>
      </c>
      <c r="D16" s="488">
        <v>32896</v>
      </c>
      <c r="E16" s="488">
        <v>30879</v>
      </c>
    </row>
    <row r="17" spans="1:5" ht="27.75" customHeight="1">
      <c r="A17" s="4" t="s">
        <v>587</v>
      </c>
      <c r="B17" s="196" t="s">
        <v>319</v>
      </c>
      <c r="C17" s="195"/>
      <c r="D17" s="571">
        <f>D18</f>
        <v>23121106</v>
      </c>
      <c r="E17" s="571">
        <f>E18</f>
        <v>21712921</v>
      </c>
    </row>
    <row r="18" spans="1:5" ht="51">
      <c r="A18" s="8" t="s">
        <v>641</v>
      </c>
      <c r="B18" s="196" t="s">
        <v>320</v>
      </c>
      <c r="C18" s="195"/>
      <c r="D18" s="571">
        <f>D19+D21</f>
        <v>23121106</v>
      </c>
      <c r="E18" s="571">
        <f>E19+E21</f>
        <v>21712921</v>
      </c>
    </row>
    <row r="19" spans="1:5" ht="25.5">
      <c r="A19" s="198" t="s">
        <v>733</v>
      </c>
      <c r="B19" s="196" t="s">
        <v>321</v>
      </c>
      <c r="C19" s="195"/>
      <c r="D19" s="571">
        <f>D20</f>
        <v>23031106</v>
      </c>
      <c r="E19" s="571">
        <f>E20</f>
        <v>21619052</v>
      </c>
    </row>
    <row r="20" spans="1:5" ht="38.25">
      <c r="A20" s="5" t="s">
        <v>90</v>
      </c>
      <c r="B20" s="196" t="s">
        <v>321</v>
      </c>
      <c r="C20" s="195">
        <v>600</v>
      </c>
      <c r="D20" s="488">
        <v>23031106</v>
      </c>
      <c r="E20" s="488">
        <v>21619052</v>
      </c>
    </row>
    <row r="21" spans="1:5" ht="36">
      <c r="A21" s="9" t="s">
        <v>291</v>
      </c>
      <c r="B21" s="196" t="s">
        <v>270</v>
      </c>
      <c r="C21" s="195"/>
      <c r="D21" s="571">
        <f>D22</f>
        <v>90000</v>
      </c>
      <c r="E21" s="571">
        <f>E22</f>
        <v>93869</v>
      </c>
    </row>
    <row r="22" spans="1:5" ht="25.5">
      <c r="A22" s="193" t="s">
        <v>91</v>
      </c>
      <c r="B22" s="192" t="s">
        <v>270</v>
      </c>
      <c r="C22" s="191">
        <v>200</v>
      </c>
      <c r="D22" s="574">
        <v>90000</v>
      </c>
      <c r="E22" s="574">
        <v>93869</v>
      </c>
    </row>
    <row r="23" spans="1:5" ht="25.5">
      <c r="A23" s="204" t="s">
        <v>162</v>
      </c>
      <c r="B23" s="257" t="s">
        <v>223</v>
      </c>
      <c r="C23" s="172" t="s">
        <v>87</v>
      </c>
      <c r="D23" s="570">
        <f>D24+D37+D53</f>
        <v>69446554</v>
      </c>
      <c r="E23" s="570">
        <f>E24+E37+E53</f>
        <v>70386982</v>
      </c>
    </row>
    <row r="24" spans="1:5" ht="51">
      <c r="A24" s="4" t="s">
        <v>380</v>
      </c>
      <c r="B24" s="199" t="s">
        <v>6</v>
      </c>
      <c r="C24" s="195" t="s">
        <v>87</v>
      </c>
      <c r="D24" s="571">
        <f>D25+D28</f>
        <v>3437700</v>
      </c>
      <c r="E24" s="571">
        <f>E25+E28</f>
        <v>3437700</v>
      </c>
    </row>
    <row r="25" spans="1:5" ht="51" hidden="1">
      <c r="A25" s="10" t="s">
        <v>450</v>
      </c>
      <c r="B25" s="199" t="s">
        <v>132</v>
      </c>
      <c r="C25" s="195"/>
      <c r="D25" s="571">
        <f>D26</f>
        <v>0</v>
      </c>
      <c r="E25" s="571">
        <f>E26</f>
        <v>0</v>
      </c>
    </row>
    <row r="26" spans="1:5" ht="38.25" hidden="1">
      <c r="A26" s="198" t="s">
        <v>625</v>
      </c>
      <c r="B26" s="196" t="s">
        <v>451</v>
      </c>
      <c r="C26" s="195" t="s">
        <v>87</v>
      </c>
      <c r="D26" s="571">
        <f>D27</f>
        <v>0</v>
      </c>
      <c r="E26" s="571">
        <f>E27</f>
        <v>0</v>
      </c>
    </row>
    <row r="27" spans="1:5" ht="38.25" hidden="1">
      <c r="A27" s="5" t="s">
        <v>90</v>
      </c>
      <c r="B27" s="196" t="s">
        <v>451</v>
      </c>
      <c r="C27" s="195" t="s">
        <v>79</v>
      </c>
      <c r="D27" s="488"/>
      <c r="E27" s="488"/>
    </row>
    <row r="28" spans="1:5" ht="51">
      <c r="A28" s="11" t="s">
        <v>761</v>
      </c>
      <c r="B28" s="199" t="s">
        <v>762</v>
      </c>
      <c r="C28" s="195"/>
      <c r="D28" s="571">
        <f>D29+D33</f>
        <v>3437700</v>
      </c>
      <c r="E28" s="571">
        <f>E29+E33</f>
        <v>3437700</v>
      </c>
    </row>
    <row r="29" spans="1:5" ht="38.25">
      <c r="A29" s="198" t="s">
        <v>390</v>
      </c>
      <c r="B29" s="199" t="s">
        <v>763</v>
      </c>
      <c r="C29" s="195" t="s">
        <v>87</v>
      </c>
      <c r="D29" s="571">
        <f>SUM(D30:D32)</f>
        <v>2342900</v>
      </c>
      <c r="E29" s="571">
        <f>SUM(E30:E32)</f>
        <v>2342900</v>
      </c>
    </row>
    <row r="30" spans="1:5" ht="63.75">
      <c r="A30" s="5" t="s">
        <v>735</v>
      </c>
      <c r="B30" s="199" t="s">
        <v>763</v>
      </c>
      <c r="C30" s="195">
        <v>100</v>
      </c>
      <c r="D30" s="488">
        <v>2232400</v>
      </c>
      <c r="E30" s="488">
        <v>2232400</v>
      </c>
    </row>
    <row r="31" spans="1:5" ht="25.5">
      <c r="A31" s="5" t="s">
        <v>228</v>
      </c>
      <c r="B31" s="199" t="s">
        <v>763</v>
      </c>
      <c r="C31" s="195">
        <v>200</v>
      </c>
      <c r="D31" s="488">
        <v>110000</v>
      </c>
      <c r="E31" s="488">
        <v>110000</v>
      </c>
    </row>
    <row r="32" spans="1:5" ht="12.75">
      <c r="A32" s="5" t="s">
        <v>77</v>
      </c>
      <c r="B32" s="199" t="s">
        <v>763</v>
      </c>
      <c r="C32" s="195">
        <v>800</v>
      </c>
      <c r="D32" s="488">
        <v>500</v>
      </c>
      <c r="E32" s="488">
        <v>500</v>
      </c>
    </row>
    <row r="33" spans="1:5" ht="62.25" customHeight="1">
      <c r="A33" s="159" t="s">
        <v>710</v>
      </c>
      <c r="B33" s="199" t="s">
        <v>333</v>
      </c>
      <c r="C33" s="195"/>
      <c r="D33" s="488">
        <f>D34+D35+D36</f>
        <v>1094800</v>
      </c>
      <c r="E33" s="488">
        <f>E34+E35+E36</f>
        <v>1094800</v>
      </c>
    </row>
    <row r="34" spans="1:5" ht="63.75">
      <c r="A34" s="5" t="s">
        <v>735</v>
      </c>
      <c r="B34" s="199" t="s">
        <v>333</v>
      </c>
      <c r="C34" s="195">
        <v>100</v>
      </c>
      <c r="D34" s="488">
        <v>982100</v>
      </c>
      <c r="E34" s="488">
        <v>982100</v>
      </c>
    </row>
    <row r="35" spans="1:5" ht="25.5">
      <c r="A35" s="5" t="s">
        <v>228</v>
      </c>
      <c r="B35" s="199" t="s">
        <v>333</v>
      </c>
      <c r="C35" s="195">
        <v>200</v>
      </c>
      <c r="D35" s="488">
        <v>112200</v>
      </c>
      <c r="E35" s="488">
        <v>112200</v>
      </c>
    </row>
    <row r="36" spans="1:5" ht="12.75">
      <c r="A36" s="5" t="s">
        <v>77</v>
      </c>
      <c r="B36" s="199" t="s">
        <v>333</v>
      </c>
      <c r="C36" s="195">
        <v>800</v>
      </c>
      <c r="D36" s="488">
        <v>500</v>
      </c>
      <c r="E36" s="488">
        <v>500</v>
      </c>
    </row>
    <row r="37" spans="1:5" ht="51">
      <c r="A37" s="4" t="s">
        <v>163</v>
      </c>
      <c r="B37" s="199" t="s">
        <v>117</v>
      </c>
      <c r="C37" s="195" t="s">
        <v>87</v>
      </c>
      <c r="D37" s="571">
        <f>D38+D45+D49</f>
        <v>7465212</v>
      </c>
      <c r="E37" s="571">
        <f>E38+E45+E49</f>
        <v>7465212</v>
      </c>
    </row>
    <row r="38" spans="1:5" ht="25.5">
      <c r="A38" s="8" t="s">
        <v>642</v>
      </c>
      <c r="B38" s="199" t="s">
        <v>126</v>
      </c>
      <c r="C38" s="195"/>
      <c r="D38" s="571">
        <f>D39+D42</f>
        <v>7074641</v>
      </c>
      <c r="E38" s="571">
        <f>E39+E42</f>
        <v>7074641</v>
      </c>
    </row>
    <row r="39" spans="1:5" ht="25.5">
      <c r="A39" s="198" t="s">
        <v>589</v>
      </c>
      <c r="B39" s="196" t="s">
        <v>643</v>
      </c>
      <c r="C39" s="195" t="s">
        <v>87</v>
      </c>
      <c r="D39" s="571">
        <f>SUM(D40:D41)</f>
        <v>6592141</v>
      </c>
      <c r="E39" s="571">
        <f>SUM(E40:E41)</f>
        <v>6592141</v>
      </c>
    </row>
    <row r="40" spans="1:5" ht="25.5">
      <c r="A40" s="5" t="s">
        <v>228</v>
      </c>
      <c r="B40" s="196" t="s">
        <v>643</v>
      </c>
      <c r="C40" s="195">
        <v>200</v>
      </c>
      <c r="D40" s="488">
        <v>71000</v>
      </c>
      <c r="E40" s="488">
        <v>71000</v>
      </c>
    </row>
    <row r="41" spans="1:5" ht="25.5">
      <c r="A41" s="5" t="s">
        <v>81</v>
      </c>
      <c r="B41" s="196" t="s">
        <v>643</v>
      </c>
      <c r="C41" s="195">
        <v>300</v>
      </c>
      <c r="D41" s="488">
        <v>6521141</v>
      </c>
      <c r="E41" s="488">
        <v>6521141</v>
      </c>
    </row>
    <row r="42" spans="1:5" ht="25.5">
      <c r="A42" s="198" t="s">
        <v>590</v>
      </c>
      <c r="B42" s="196" t="s">
        <v>644</v>
      </c>
      <c r="C42" s="195" t="s">
        <v>87</v>
      </c>
      <c r="D42" s="571">
        <f>SUM(D43:D44)</f>
        <v>482500</v>
      </c>
      <c r="E42" s="571">
        <f>SUM(E43:E44)</f>
        <v>482500</v>
      </c>
    </row>
    <row r="43" spans="1:5" ht="25.5">
      <c r="A43" s="5" t="s">
        <v>228</v>
      </c>
      <c r="B43" s="196" t="s">
        <v>644</v>
      </c>
      <c r="C43" s="195">
        <v>200</v>
      </c>
      <c r="D43" s="488">
        <v>9500</v>
      </c>
      <c r="E43" s="488">
        <v>9500</v>
      </c>
    </row>
    <row r="44" spans="1:5" ht="25.5">
      <c r="A44" s="5" t="s">
        <v>81</v>
      </c>
      <c r="B44" s="196" t="s">
        <v>644</v>
      </c>
      <c r="C44" s="195" t="s">
        <v>80</v>
      </c>
      <c r="D44" s="488">
        <v>473000</v>
      </c>
      <c r="E44" s="488">
        <v>473000</v>
      </c>
    </row>
    <row r="45" spans="1:5" ht="25.5">
      <c r="A45" s="7" t="s">
        <v>123</v>
      </c>
      <c r="B45" s="199" t="s">
        <v>127</v>
      </c>
      <c r="C45" s="213"/>
      <c r="D45" s="571">
        <f>D46</f>
        <v>125083</v>
      </c>
      <c r="E45" s="571">
        <f>E46</f>
        <v>125083</v>
      </c>
    </row>
    <row r="46" spans="1:5" ht="38.25">
      <c r="A46" s="198" t="s">
        <v>262</v>
      </c>
      <c r="B46" s="196" t="s">
        <v>128</v>
      </c>
      <c r="C46" s="195" t="s">
        <v>87</v>
      </c>
      <c r="D46" s="571">
        <f>SUM(D47:D48)</f>
        <v>125083</v>
      </c>
      <c r="E46" s="571">
        <f>SUM(E47:E48)</f>
        <v>125083</v>
      </c>
    </row>
    <row r="47" spans="1:5" ht="25.5">
      <c r="A47" s="5" t="s">
        <v>228</v>
      </c>
      <c r="B47" s="196" t="s">
        <v>128</v>
      </c>
      <c r="C47" s="195">
        <v>200</v>
      </c>
      <c r="D47" s="571">
        <v>1900</v>
      </c>
      <c r="E47" s="571">
        <v>1900</v>
      </c>
    </row>
    <row r="48" spans="1:5" ht="25.5">
      <c r="A48" s="5" t="s">
        <v>81</v>
      </c>
      <c r="B48" s="196" t="s">
        <v>128</v>
      </c>
      <c r="C48" s="195" t="s">
        <v>80</v>
      </c>
      <c r="D48" s="488">
        <v>123183</v>
      </c>
      <c r="E48" s="488">
        <v>123183</v>
      </c>
    </row>
    <row r="49" spans="1:5" ht="38.25">
      <c r="A49" s="10" t="s">
        <v>645</v>
      </c>
      <c r="B49" s="199" t="s">
        <v>129</v>
      </c>
      <c r="C49" s="213"/>
      <c r="D49" s="571">
        <f>D50</f>
        <v>265488</v>
      </c>
      <c r="E49" s="571">
        <f>E50</f>
        <v>265488</v>
      </c>
    </row>
    <row r="50" spans="1:5" ht="38.25">
      <c r="A50" s="198" t="s">
        <v>492</v>
      </c>
      <c r="B50" s="196" t="s">
        <v>130</v>
      </c>
      <c r="C50" s="195" t="s">
        <v>87</v>
      </c>
      <c r="D50" s="571">
        <f>SUM(D51:D52)</f>
        <v>265488</v>
      </c>
      <c r="E50" s="571">
        <f>SUM(E51:E52)</f>
        <v>265488</v>
      </c>
    </row>
    <row r="51" spans="1:5" ht="25.5">
      <c r="A51" s="5" t="s">
        <v>228</v>
      </c>
      <c r="B51" s="196" t="s">
        <v>130</v>
      </c>
      <c r="C51" s="195">
        <v>200</v>
      </c>
      <c r="D51" s="488">
        <v>2000</v>
      </c>
      <c r="E51" s="488">
        <v>2000</v>
      </c>
    </row>
    <row r="52" spans="1:5" ht="25.5">
      <c r="A52" s="5" t="s">
        <v>81</v>
      </c>
      <c r="B52" s="196" t="s">
        <v>130</v>
      </c>
      <c r="C52" s="195">
        <v>300</v>
      </c>
      <c r="D52" s="488">
        <v>263488</v>
      </c>
      <c r="E52" s="488">
        <v>263488</v>
      </c>
    </row>
    <row r="53" spans="1:5" ht="63.75">
      <c r="A53" s="4" t="s">
        <v>172</v>
      </c>
      <c r="B53" s="213" t="s">
        <v>7</v>
      </c>
      <c r="C53" s="213"/>
      <c r="D53" s="571">
        <f>D54+D61+D64+D68</f>
        <v>58543642</v>
      </c>
      <c r="E53" s="571">
        <f>E54+E61+E64+E68</f>
        <v>59484070</v>
      </c>
    </row>
    <row r="54" spans="1:5" ht="38.25">
      <c r="A54" s="8" t="s">
        <v>757</v>
      </c>
      <c r="B54" s="213" t="s">
        <v>124</v>
      </c>
      <c r="C54" s="195"/>
      <c r="D54" s="571">
        <f>D55+D57+D59</f>
        <v>47192196</v>
      </c>
      <c r="E54" s="571">
        <f>E55+E57+E59</f>
        <v>50039667</v>
      </c>
    </row>
    <row r="55" spans="1:5" ht="12.75">
      <c r="A55" s="7" t="s">
        <v>555</v>
      </c>
      <c r="B55" s="196" t="s">
        <v>758</v>
      </c>
      <c r="C55" s="195"/>
      <c r="D55" s="571">
        <f>D56</f>
        <v>1707915</v>
      </c>
      <c r="E55" s="571">
        <f>E56</f>
        <v>1707915</v>
      </c>
    </row>
    <row r="56" spans="1:5" ht="25.5">
      <c r="A56" s="5" t="s">
        <v>81</v>
      </c>
      <c r="B56" s="196" t="s">
        <v>758</v>
      </c>
      <c r="C56" s="195">
        <v>300</v>
      </c>
      <c r="D56" s="488">
        <v>1707915</v>
      </c>
      <c r="E56" s="488">
        <v>1707915</v>
      </c>
    </row>
    <row r="57" spans="1:5" ht="25.5">
      <c r="A57" s="461" t="s">
        <v>510</v>
      </c>
      <c r="B57" s="196" t="s">
        <v>511</v>
      </c>
      <c r="C57" s="195"/>
      <c r="D57" s="488">
        <f>D58</f>
        <v>44608300</v>
      </c>
      <c r="E57" s="488">
        <f>E58</f>
        <v>47416182</v>
      </c>
    </row>
    <row r="58" spans="1:5" ht="25.5">
      <c r="A58" s="5" t="s">
        <v>81</v>
      </c>
      <c r="B58" s="196" t="s">
        <v>511</v>
      </c>
      <c r="C58" s="195">
        <v>300</v>
      </c>
      <c r="D58" s="488">
        <v>44608300</v>
      </c>
      <c r="E58" s="488">
        <v>47416182</v>
      </c>
    </row>
    <row r="59" spans="1:5" ht="38.25">
      <c r="A59" s="461" t="s">
        <v>512</v>
      </c>
      <c r="B59" s="196" t="s">
        <v>513</v>
      </c>
      <c r="C59" s="195"/>
      <c r="D59" s="488">
        <f>D60</f>
        <v>875981</v>
      </c>
      <c r="E59" s="488">
        <f>E60</f>
        <v>915570</v>
      </c>
    </row>
    <row r="60" spans="1:5" ht="25.5">
      <c r="A60" s="5" t="s">
        <v>228</v>
      </c>
      <c r="B60" s="196" t="s">
        <v>513</v>
      </c>
      <c r="C60" s="195">
        <v>200</v>
      </c>
      <c r="D60" s="488">
        <v>875981</v>
      </c>
      <c r="E60" s="488">
        <v>915570</v>
      </c>
    </row>
    <row r="61" spans="1:5" ht="63.75">
      <c r="A61" s="8" t="s">
        <v>125</v>
      </c>
      <c r="B61" s="199" t="s">
        <v>759</v>
      </c>
      <c r="C61" s="195"/>
      <c r="D61" s="571">
        <f>D62</f>
        <v>6119254</v>
      </c>
      <c r="E61" s="571">
        <f>E62</f>
        <v>6326257</v>
      </c>
    </row>
    <row r="62" spans="1:5" ht="38.25">
      <c r="A62" s="198" t="s">
        <v>591</v>
      </c>
      <c r="B62" s="196" t="s">
        <v>760</v>
      </c>
      <c r="C62" s="195" t="s">
        <v>87</v>
      </c>
      <c r="D62" s="571">
        <f>SUM(D63:D63)</f>
        <v>6119254</v>
      </c>
      <c r="E62" s="571">
        <f>SUM(E63:E63)</f>
        <v>6326257</v>
      </c>
    </row>
    <row r="63" spans="1:5" ht="25.5">
      <c r="A63" s="5" t="s">
        <v>81</v>
      </c>
      <c r="B63" s="196" t="s">
        <v>760</v>
      </c>
      <c r="C63" s="195">
        <v>300</v>
      </c>
      <c r="D63" s="488">
        <v>6119254</v>
      </c>
      <c r="E63" s="488">
        <v>6326257</v>
      </c>
    </row>
    <row r="64" spans="1:5" ht="51">
      <c r="A64" s="5" t="s">
        <v>588</v>
      </c>
      <c r="B64" s="213" t="s">
        <v>595</v>
      </c>
      <c r="C64" s="195"/>
      <c r="D64" s="571">
        <f>D65</f>
        <v>1004100</v>
      </c>
      <c r="E64" s="571">
        <f>E65</f>
        <v>1004100</v>
      </c>
    </row>
    <row r="65" spans="1:5" ht="51">
      <c r="A65" s="198" t="s">
        <v>282</v>
      </c>
      <c r="B65" s="196" t="s">
        <v>452</v>
      </c>
      <c r="C65" s="195"/>
      <c r="D65" s="571">
        <f>SUM(D66:D67)</f>
        <v>1004100</v>
      </c>
      <c r="E65" s="571">
        <f>SUM(E66:E67)</f>
        <v>1004100</v>
      </c>
    </row>
    <row r="66" spans="1:5" ht="63.75">
      <c r="A66" s="5" t="s">
        <v>735</v>
      </c>
      <c r="B66" s="196" t="s">
        <v>452</v>
      </c>
      <c r="C66" s="195">
        <v>100</v>
      </c>
      <c r="D66" s="488">
        <v>967900</v>
      </c>
      <c r="E66" s="488">
        <v>967900</v>
      </c>
    </row>
    <row r="67" spans="1:5" ht="25.5">
      <c r="A67" s="193" t="s">
        <v>228</v>
      </c>
      <c r="B67" s="192" t="s">
        <v>452</v>
      </c>
      <c r="C67" s="191" t="s">
        <v>74</v>
      </c>
      <c r="D67" s="574">
        <v>36200</v>
      </c>
      <c r="E67" s="574">
        <v>36200</v>
      </c>
    </row>
    <row r="68" spans="1:5" ht="38.25">
      <c r="A68" s="390" t="s">
        <v>933</v>
      </c>
      <c r="B68" s="148" t="s">
        <v>916</v>
      </c>
      <c r="C68" s="147"/>
      <c r="D68" s="488">
        <f>D69</f>
        <v>4228092</v>
      </c>
      <c r="E68" s="488">
        <f>E69</f>
        <v>2114046</v>
      </c>
    </row>
    <row r="69" spans="1:5" ht="51">
      <c r="A69" s="390" t="s">
        <v>909</v>
      </c>
      <c r="B69" s="148" t="s">
        <v>917</v>
      </c>
      <c r="C69" s="147"/>
      <c r="D69" s="488">
        <f>D70</f>
        <v>4228092</v>
      </c>
      <c r="E69" s="488">
        <f>E70</f>
        <v>2114046</v>
      </c>
    </row>
    <row r="70" spans="1:5" ht="30.75" customHeight="1">
      <c r="A70" s="390" t="s">
        <v>221</v>
      </c>
      <c r="B70" s="148" t="s">
        <v>917</v>
      </c>
      <c r="C70" s="147">
        <v>400</v>
      </c>
      <c r="D70" s="488">
        <v>4228092</v>
      </c>
      <c r="E70" s="488">
        <v>2114046</v>
      </c>
    </row>
    <row r="71" spans="1:5" ht="38.25">
      <c r="A71" s="204" t="s">
        <v>277</v>
      </c>
      <c r="B71" s="257" t="s">
        <v>557</v>
      </c>
      <c r="C71" s="172" t="s">
        <v>87</v>
      </c>
      <c r="D71" s="570">
        <f>D72+D86+D134</f>
        <v>313980194</v>
      </c>
      <c r="E71" s="570">
        <f>E72+E86+E134</f>
        <v>245781931</v>
      </c>
    </row>
    <row r="72" spans="1:5" ht="51">
      <c r="A72" s="4" t="s">
        <v>241</v>
      </c>
      <c r="B72" s="196" t="s">
        <v>309</v>
      </c>
      <c r="C72" s="195" t="s">
        <v>87</v>
      </c>
      <c r="D72" s="571">
        <f>D73+D76+D81</f>
        <v>9662223</v>
      </c>
      <c r="E72" s="571">
        <f>E73+E76+E81</f>
        <v>9084296</v>
      </c>
    </row>
    <row r="73" spans="1:5" ht="51">
      <c r="A73" s="7" t="s">
        <v>461</v>
      </c>
      <c r="B73" s="196" t="s">
        <v>310</v>
      </c>
      <c r="C73" s="195"/>
      <c r="D73" s="571">
        <f>D74</f>
        <v>236023</v>
      </c>
      <c r="E73" s="571">
        <f>E74</f>
        <v>236023</v>
      </c>
    </row>
    <row r="74" spans="1:5" ht="38.25">
      <c r="A74" s="5" t="s">
        <v>596</v>
      </c>
      <c r="B74" s="196" t="s">
        <v>311</v>
      </c>
      <c r="C74" s="195"/>
      <c r="D74" s="571">
        <f>D75</f>
        <v>236023</v>
      </c>
      <c r="E74" s="571">
        <f>E75</f>
        <v>236023</v>
      </c>
    </row>
    <row r="75" spans="1:5" ht="63.75">
      <c r="A75" s="5" t="s">
        <v>735</v>
      </c>
      <c r="B75" s="196" t="s">
        <v>311</v>
      </c>
      <c r="C75" s="195">
        <v>100</v>
      </c>
      <c r="D75" s="488">
        <v>236023</v>
      </c>
      <c r="E75" s="488">
        <v>236023</v>
      </c>
    </row>
    <row r="76" spans="1:5" ht="38.25">
      <c r="A76" s="12" t="s">
        <v>326</v>
      </c>
      <c r="B76" s="196" t="s">
        <v>313</v>
      </c>
      <c r="C76" s="195"/>
      <c r="D76" s="571">
        <f>D77</f>
        <v>8051438</v>
      </c>
      <c r="E76" s="571">
        <f>E77</f>
        <v>7557799</v>
      </c>
    </row>
    <row r="77" spans="1:5" ht="25.5">
      <c r="A77" s="198" t="s">
        <v>494</v>
      </c>
      <c r="B77" s="196" t="s">
        <v>314</v>
      </c>
      <c r="C77" s="195" t="s">
        <v>87</v>
      </c>
      <c r="D77" s="571">
        <f>SUM(D78:D80)</f>
        <v>8051438</v>
      </c>
      <c r="E77" s="571">
        <f>SUM(E78:E80)</f>
        <v>7557799</v>
      </c>
    </row>
    <row r="78" spans="1:5" ht="63.75">
      <c r="A78" s="5" t="s">
        <v>735</v>
      </c>
      <c r="B78" s="196" t="s">
        <v>314</v>
      </c>
      <c r="C78" s="195" t="s">
        <v>592</v>
      </c>
      <c r="D78" s="488">
        <v>7641344</v>
      </c>
      <c r="E78" s="488">
        <v>7172848</v>
      </c>
    </row>
    <row r="79" spans="1:5" ht="25.5">
      <c r="A79" s="5" t="s">
        <v>228</v>
      </c>
      <c r="B79" s="196" t="s">
        <v>314</v>
      </c>
      <c r="C79" s="195" t="s">
        <v>74</v>
      </c>
      <c r="D79" s="488">
        <v>404804</v>
      </c>
      <c r="E79" s="488">
        <v>379985</v>
      </c>
    </row>
    <row r="80" spans="1:5" ht="12.75">
      <c r="A80" s="5" t="s">
        <v>77</v>
      </c>
      <c r="B80" s="196" t="s">
        <v>314</v>
      </c>
      <c r="C80" s="195">
        <v>800</v>
      </c>
      <c r="D80" s="488">
        <v>5290</v>
      </c>
      <c r="E80" s="488">
        <v>4966</v>
      </c>
    </row>
    <row r="81" spans="1:5" ht="38.25">
      <c r="A81" s="198" t="s">
        <v>637</v>
      </c>
      <c r="B81" s="196" t="s">
        <v>639</v>
      </c>
      <c r="C81" s="195"/>
      <c r="D81" s="571">
        <f>D82</f>
        <v>1374762</v>
      </c>
      <c r="E81" s="571">
        <f>E82</f>
        <v>1290474</v>
      </c>
    </row>
    <row r="82" spans="1:5" ht="25.5">
      <c r="A82" s="198" t="s">
        <v>731</v>
      </c>
      <c r="B82" s="196" t="s">
        <v>640</v>
      </c>
      <c r="C82" s="195"/>
      <c r="D82" s="571">
        <f>SUM(D83:D85)</f>
        <v>1374762</v>
      </c>
      <c r="E82" s="571">
        <f>SUM(E83:E85)</f>
        <v>1290474</v>
      </c>
    </row>
    <row r="83" spans="1:5" ht="63.75">
      <c r="A83" s="5" t="s">
        <v>735</v>
      </c>
      <c r="B83" s="196" t="s">
        <v>640</v>
      </c>
      <c r="C83" s="195" t="s">
        <v>592</v>
      </c>
      <c r="D83" s="488">
        <v>1290762</v>
      </c>
      <c r="E83" s="488">
        <v>1211624</v>
      </c>
    </row>
    <row r="84" spans="1:5" ht="25.5">
      <c r="A84" s="5" t="s">
        <v>228</v>
      </c>
      <c r="B84" s="196" t="s">
        <v>640</v>
      </c>
      <c r="C84" s="195" t="s">
        <v>74</v>
      </c>
      <c r="D84" s="488">
        <v>84000</v>
      </c>
      <c r="E84" s="488">
        <v>78850</v>
      </c>
    </row>
    <row r="85" spans="1:5" ht="12.75" hidden="1">
      <c r="A85" s="5" t="s">
        <v>77</v>
      </c>
      <c r="B85" s="196" t="s">
        <v>640</v>
      </c>
      <c r="C85" s="195">
        <v>800</v>
      </c>
      <c r="D85" s="488"/>
      <c r="E85" s="488"/>
    </row>
    <row r="86" spans="1:5" ht="51">
      <c r="A86" s="4" t="s">
        <v>278</v>
      </c>
      <c r="B86" s="199" t="s">
        <v>558</v>
      </c>
      <c r="C86" s="195" t="s">
        <v>87</v>
      </c>
      <c r="D86" s="571">
        <f>D87+D95+D99+D106+D126+D129+D119</f>
        <v>287862771</v>
      </c>
      <c r="E86" s="571">
        <f>E87+E95+E99+E106+E126+E129+E119</f>
        <v>220013828</v>
      </c>
    </row>
    <row r="87" spans="1:5" ht="25.5">
      <c r="A87" s="7" t="s">
        <v>456</v>
      </c>
      <c r="B87" s="196" t="s">
        <v>559</v>
      </c>
      <c r="C87" s="195"/>
      <c r="D87" s="571">
        <f>D88+D91</f>
        <v>92601566</v>
      </c>
      <c r="E87" s="571">
        <f>E88+E91</f>
        <v>90778726</v>
      </c>
    </row>
    <row r="88" spans="1:5" ht="107.25" customHeight="1">
      <c r="A88" s="5" t="s">
        <v>298</v>
      </c>
      <c r="B88" s="196" t="s">
        <v>299</v>
      </c>
      <c r="C88" s="195" t="s">
        <v>87</v>
      </c>
      <c r="D88" s="571">
        <f>SUM(D89:D90)</f>
        <v>55488082</v>
      </c>
      <c r="E88" s="571">
        <f>SUM(E89:E90)</f>
        <v>55488082</v>
      </c>
    </row>
    <row r="89" spans="1:5" ht="63.75">
      <c r="A89" s="5" t="s">
        <v>735</v>
      </c>
      <c r="B89" s="196" t="s">
        <v>299</v>
      </c>
      <c r="C89" s="195" t="s">
        <v>592</v>
      </c>
      <c r="D89" s="488">
        <v>55063202</v>
      </c>
      <c r="E89" s="488">
        <v>55063202</v>
      </c>
    </row>
    <row r="90" spans="1:5" ht="25.5">
      <c r="A90" s="5" t="s">
        <v>228</v>
      </c>
      <c r="B90" s="196" t="s">
        <v>299</v>
      </c>
      <c r="C90" s="195" t="s">
        <v>74</v>
      </c>
      <c r="D90" s="488">
        <v>424880</v>
      </c>
      <c r="E90" s="488">
        <v>424880</v>
      </c>
    </row>
    <row r="91" spans="1:5" ht="25.5">
      <c r="A91" s="198" t="s">
        <v>494</v>
      </c>
      <c r="B91" s="196" t="s">
        <v>300</v>
      </c>
      <c r="C91" s="195"/>
      <c r="D91" s="571">
        <f>SUM(D92:D94)</f>
        <v>37113484</v>
      </c>
      <c r="E91" s="571">
        <f>SUM(E92:E94)</f>
        <v>35290644</v>
      </c>
    </row>
    <row r="92" spans="1:5" ht="63.75">
      <c r="A92" s="5" t="s">
        <v>735</v>
      </c>
      <c r="B92" s="196" t="s">
        <v>300</v>
      </c>
      <c r="C92" s="195">
        <v>100</v>
      </c>
      <c r="D92" s="488">
        <v>18466929</v>
      </c>
      <c r="E92" s="488">
        <v>17334708</v>
      </c>
    </row>
    <row r="93" spans="1:5" ht="25.5">
      <c r="A93" s="5" t="s">
        <v>228</v>
      </c>
      <c r="B93" s="196" t="s">
        <v>300</v>
      </c>
      <c r="C93" s="195">
        <v>200</v>
      </c>
      <c r="D93" s="488">
        <v>16366724</v>
      </c>
      <c r="E93" s="488">
        <v>15815883</v>
      </c>
    </row>
    <row r="94" spans="1:5" ht="12.75">
      <c r="A94" s="5" t="s">
        <v>77</v>
      </c>
      <c r="B94" s="196" t="s">
        <v>300</v>
      </c>
      <c r="C94" s="195">
        <v>800</v>
      </c>
      <c r="D94" s="488">
        <v>2279831</v>
      </c>
      <c r="E94" s="488">
        <v>2140053</v>
      </c>
    </row>
    <row r="95" spans="1:5" ht="25.5">
      <c r="A95" s="7" t="s">
        <v>249</v>
      </c>
      <c r="B95" s="196" t="s">
        <v>131</v>
      </c>
      <c r="C95" s="195"/>
      <c r="D95" s="571">
        <f>D96</f>
        <v>5116098</v>
      </c>
      <c r="E95" s="571">
        <f>E96</f>
        <v>5116098</v>
      </c>
    </row>
    <row r="96" spans="1:5" ht="12.75">
      <c r="A96" s="5" t="s">
        <v>323</v>
      </c>
      <c r="B96" s="196" t="s">
        <v>243</v>
      </c>
      <c r="C96" s="195"/>
      <c r="D96" s="571">
        <f>SUM(D97:D98)</f>
        <v>5116098</v>
      </c>
      <c r="E96" s="571">
        <f>SUM(E97:E98)</f>
        <v>5116098</v>
      </c>
    </row>
    <row r="97" spans="1:5" ht="25.5">
      <c r="A97" s="5" t="s">
        <v>228</v>
      </c>
      <c r="B97" s="196" t="s">
        <v>243</v>
      </c>
      <c r="C97" s="195">
        <v>200</v>
      </c>
      <c r="D97" s="488">
        <v>20382</v>
      </c>
      <c r="E97" s="488">
        <v>20382</v>
      </c>
    </row>
    <row r="98" spans="1:5" ht="25.5">
      <c r="A98" s="5" t="s">
        <v>81</v>
      </c>
      <c r="B98" s="196" t="s">
        <v>243</v>
      </c>
      <c r="C98" s="195">
        <v>300</v>
      </c>
      <c r="D98" s="488">
        <v>5095716</v>
      </c>
      <c r="E98" s="488">
        <v>5095716</v>
      </c>
    </row>
    <row r="99" spans="1:5" ht="25.5">
      <c r="A99" s="7" t="s">
        <v>458</v>
      </c>
      <c r="B99" s="196" t="s">
        <v>301</v>
      </c>
      <c r="C99" s="195"/>
      <c r="D99" s="571">
        <f>D100+D102+D104</f>
        <v>115240939</v>
      </c>
      <c r="E99" s="571">
        <f>E100+E102+E104</f>
        <v>114416531</v>
      </c>
    </row>
    <row r="100" spans="1:5" ht="114.75">
      <c r="A100" s="5" t="s">
        <v>681</v>
      </c>
      <c r="B100" s="196" t="s">
        <v>302</v>
      </c>
      <c r="C100" s="195" t="s">
        <v>87</v>
      </c>
      <c r="D100" s="571">
        <f>D101</f>
        <v>96274514</v>
      </c>
      <c r="E100" s="571">
        <f>E101</f>
        <v>96274514</v>
      </c>
    </row>
    <row r="101" spans="1:5" ht="38.25">
      <c r="A101" s="5" t="s">
        <v>90</v>
      </c>
      <c r="B101" s="196" t="s">
        <v>302</v>
      </c>
      <c r="C101" s="195">
        <v>600</v>
      </c>
      <c r="D101" s="488">
        <v>96274514</v>
      </c>
      <c r="E101" s="488">
        <v>96274514</v>
      </c>
    </row>
    <row r="102" spans="1:5" ht="25.5">
      <c r="A102" s="198" t="s">
        <v>494</v>
      </c>
      <c r="B102" s="196" t="s">
        <v>303</v>
      </c>
      <c r="C102" s="195"/>
      <c r="D102" s="571">
        <f>D103</f>
        <v>12467788</v>
      </c>
      <c r="E102" s="571">
        <f>E103</f>
        <v>11703379</v>
      </c>
    </row>
    <row r="103" spans="1:5" ht="38.25">
      <c r="A103" s="5" t="s">
        <v>90</v>
      </c>
      <c r="B103" s="196" t="s">
        <v>303</v>
      </c>
      <c r="C103" s="195">
        <v>600</v>
      </c>
      <c r="D103" s="488">
        <v>12467788</v>
      </c>
      <c r="E103" s="488">
        <v>11703379</v>
      </c>
    </row>
    <row r="104" spans="1:5" ht="51">
      <c r="A104" s="5" t="s">
        <v>509</v>
      </c>
      <c r="B104" s="463" t="s">
        <v>957</v>
      </c>
      <c r="C104" s="195"/>
      <c r="D104" s="488">
        <f>D105</f>
        <v>6498637</v>
      </c>
      <c r="E104" s="488">
        <f>E105</f>
        <v>6438638</v>
      </c>
    </row>
    <row r="105" spans="1:5" ht="38.25">
      <c r="A105" s="5" t="s">
        <v>90</v>
      </c>
      <c r="B105" s="463" t="s">
        <v>957</v>
      </c>
      <c r="C105" s="195">
        <v>600</v>
      </c>
      <c r="D105" s="488">
        <v>6498637</v>
      </c>
      <c r="E105" s="488">
        <v>6438638</v>
      </c>
    </row>
    <row r="106" spans="1:5" ht="25.5">
      <c r="A106" s="7" t="s">
        <v>459</v>
      </c>
      <c r="B106" s="199" t="s">
        <v>304</v>
      </c>
      <c r="C106" s="195"/>
      <c r="D106" s="571">
        <f>D107+D109+D111+D115+D117+D113</f>
        <v>8988504</v>
      </c>
      <c r="E106" s="571">
        <f>E107+E109+E111+E115+E117+E113</f>
        <v>9702473</v>
      </c>
    </row>
    <row r="107" spans="1:5" ht="51">
      <c r="A107" s="449" t="s">
        <v>396</v>
      </c>
      <c r="B107" s="196" t="s">
        <v>397</v>
      </c>
      <c r="C107" s="195"/>
      <c r="D107" s="571">
        <f>D108</f>
        <v>6138789</v>
      </c>
      <c r="E107" s="571">
        <f>E108</f>
        <v>6324077</v>
      </c>
    </row>
    <row r="108" spans="1:5" ht="38.25">
      <c r="A108" s="5" t="s">
        <v>90</v>
      </c>
      <c r="B108" s="196" t="s">
        <v>397</v>
      </c>
      <c r="C108" s="195">
        <v>600</v>
      </c>
      <c r="D108" s="571">
        <f>6093224+45565</f>
        <v>6138789</v>
      </c>
      <c r="E108" s="571">
        <f>6274579+49498</f>
        <v>6324077</v>
      </c>
    </row>
    <row r="109" spans="1:5" ht="76.5">
      <c r="A109" s="453" t="s">
        <v>746</v>
      </c>
      <c r="B109" s="463" t="s">
        <v>747</v>
      </c>
      <c r="C109" s="195"/>
      <c r="D109" s="571">
        <f>D110</f>
        <v>318065</v>
      </c>
      <c r="E109" s="571">
        <f>E110</f>
        <v>318065</v>
      </c>
    </row>
    <row r="110" spans="1:5" ht="38.25">
      <c r="A110" s="443" t="s">
        <v>90</v>
      </c>
      <c r="B110" s="463" t="s">
        <v>747</v>
      </c>
      <c r="C110" s="195">
        <v>600</v>
      </c>
      <c r="D110" s="571">
        <v>318065</v>
      </c>
      <c r="E110" s="571">
        <v>318065</v>
      </c>
    </row>
    <row r="111" spans="1:5" ht="76.5">
      <c r="A111" s="454" t="s">
        <v>295</v>
      </c>
      <c r="B111" s="463" t="s">
        <v>305</v>
      </c>
      <c r="C111" s="464"/>
      <c r="D111" s="571">
        <f>D112</f>
        <v>2127215</v>
      </c>
      <c r="E111" s="571">
        <f>E112</f>
        <v>2127215</v>
      </c>
    </row>
    <row r="112" spans="1:5" ht="38.25">
      <c r="A112" s="443" t="s">
        <v>90</v>
      </c>
      <c r="B112" s="463" t="s">
        <v>305</v>
      </c>
      <c r="C112" s="464">
        <v>600</v>
      </c>
      <c r="D112" s="488">
        <v>2127215</v>
      </c>
      <c r="E112" s="488">
        <v>2127215</v>
      </c>
    </row>
    <row r="113" spans="1:5" ht="25.5">
      <c r="A113" s="149" t="s">
        <v>494</v>
      </c>
      <c r="B113" s="148" t="s">
        <v>395</v>
      </c>
      <c r="C113" s="147"/>
      <c r="D113" s="488">
        <f>D114</f>
        <v>384435</v>
      </c>
      <c r="E113" s="488">
        <f>E114</f>
        <v>914342</v>
      </c>
    </row>
    <row r="114" spans="1:5" ht="38.25">
      <c r="A114" s="159" t="s">
        <v>90</v>
      </c>
      <c r="B114" s="148" t="s">
        <v>395</v>
      </c>
      <c r="C114" s="147">
        <v>600</v>
      </c>
      <c r="D114" s="488">
        <f>430000-45565</f>
        <v>384435</v>
      </c>
      <c r="E114" s="488">
        <f>963840-49498</f>
        <v>914342</v>
      </c>
    </row>
    <row r="115" spans="1:5" ht="24">
      <c r="A115" s="438" t="s">
        <v>214</v>
      </c>
      <c r="B115" s="196" t="s">
        <v>273</v>
      </c>
      <c r="C115" s="195"/>
      <c r="D115" s="571">
        <f>D116</f>
        <v>20000</v>
      </c>
      <c r="E115" s="571">
        <f>E116</f>
        <v>18774</v>
      </c>
    </row>
    <row r="116" spans="1:5" ht="38.25">
      <c r="A116" s="5" t="s">
        <v>90</v>
      </c>
      <c r="B116" s="196" t="s">
        <v>273</v>
      </c>
      <c r="C116" s="195">
        <v>300</v>
      </c>
      <c r="D116" s="488">
        <v>20000</v>
      </c>
      <c r="E116" s="488">
        <v>18774</v>
      </c>
    </row>
    <row r="117" spans="1:5" ht="12.75" hidden="1">
      <c r="A117" s="5"/>
      <c r="B117" s="463"/>
      <c r="C117" s="195"/>
      <c r="D117" s="488">
        <f>D118</f>
        <v>0</v>
      </c>
      <c r="E117" s="488">
        <f>E118</f>
        <v>0</v>
      </c>
    </row>
    <row r="118" spans="1:5" ht="12.75" hidden="1">
      <c r="A118" s="5"/>
      <c r="B118" s="463"/>
      <c r="C118" s="195"/>
      <c r="D118" s="488"/>
      <c r="E118" s="488"/>
    </row>
    <row r="119" spans="1:5" ht="102">
      <c r="A119" s="7" t="s">
        <v>958</v>
      </c>
      <c r="B119" s="148" t="s">
        <v>959</v>
      </c>
      <c r="C119" s="147"/>
      <c r="D119" s="483">
        <f>D120+D124+D122</f>
        <v>65915664</v>
      </c>
      <c r="E119" s="483">
        <f>E120+E124+E122</f>
        <v>0</v>
      </c>
    </row>
    <row r="120" spans="1:5" ht="63.75">
      <c r="A120" s="390" t="s">
        <v>1012</v>
      </c>
      <c r="B120" s="148" t="s">
        <v>1014</v>
      </c>
      <c r="C120" s="147"/>
      <c r="D120" s="483">
        <f>D121</f>
        <v>63766132</v>
      </c>
      <c r="E120" s="483">
        <f>E121</f>
        <v>0</v>
      </c>
    </row>
    <row r="121" spans="1:5" ht="38.25">
      <c r="A121" s="159" t="s">
        <v>90</v>
      </c>
      <c r="B121" s="148" t="s">
        <v>1014</v>
      </c>
      <c r="C121" s="147" t="s">
        <v>79</v>
      </c>
      <c r="D121" s="483">
        <f>1275323+62490809</f>
        <v>63766132</v>
      </c>
      <c r="E121" s="483"/>
    </row>
    <row r="122" spans="1:5" ht="38.25">
      <c r="A122" s="159" t="s">
        <v>989</v>
      </c>
      <c r="B122" s="148" t="s">
        <v>990</v>
      </c>
      <c r="C122" s="147"/>
      <c r="D122" s="483">
        <f>D123</f>
        <v>2106541</v>
      </c>
      <c r="E122" s="483">
        <f>E123</f>
        <v>0</v>
      </c>
    </row>
    <row r="123" spans="1:5" ht="38.25">
      <c r="A123" s="159" t="s">
        <v>90</v>
      </c>
      <c r="B123" s="148" t="s">
        <v>990</v>
      </c>
      <c r="C123" s="147">
        <v>600</v>
      </c>
      <c r="D123" s="483">
        <v>2106541</v>
      </c>
      <c r="E123" s="483"/>
    </row>
    <row r="124" spans="1:5" ht="38.25">
      <c r="A124" s="406" t="s">
        <v>960</v>
      </c>
      <c r="B124" s="148" t="s">
        <v>961</v>
      </c>
      <c r="C124" s="147"/>
      <c r="D124" s="483">
        <f>D125</f>
        <v>42991</v>
      </c>
      <c r="E124" s="483">
        <f>E125</f>
        <v>0</v>
      </c>
    </row>
    <row r="125" spans="1:5" ht="38.25">
      <c r="A125" s="159" t="s">
        <v>90</v>
      </c>
      <c r="B125" s="148" t="s">
        <v>961</v>
      </c>
      <c r="C125" s="147" t="s">
        <v>79</v>
      </c>
      <c r="D125" s="483">
        <v>42991</v>
      </c>
      <c r="E125" s="483"/>
    </row>
    <row r="126" spans="1:5" ht="12.75" hidden="1">
      <c r="A126" s="448" t="s">
        <v>750</v>
      </c>
      <c r="B126" s="196" t="s">
        <v>331</v>
      </c>
      <c r="C126" s="464"/>
      <c r="D126" s="571">
        <f>D128</f>
        <v>0</v>
      </c>
      <c r="E126" s="571">
        <f>E128</f>
        <v>0</v>
      </c>
    </row>
    <row r="127" spans="1:5" ht="76.5" hidden="1">
      <c r="A127" s="308" t="s">
        <v>152</v>
      </c>
      <c r="B127" s="196" t="s">
        <v>332</v>
      </c>
      <c r="C127" s="464"/>
      <c r="D127" s="571">
        <f>D128</f>
        <v>0</v>
      </c>
      <c r="E127" s="571">
        <f>E128</f>
        <v>0</v>
      </c>
    </row>
    <row r="128" spans="1:5" ht="38.25" hidden="1">
      <c r="A128" s="443" t="s">
        <v>90</v>
      </c>
      <c r="B128" s="196" t="s">
        <v>332</v>
      </c>
      <c r="C128" s="464">
        <v>600</v>
      </c>
      <c r="D128" s="488"/>
      <c r="E128" s="488"/>
    </row>
    <row r="129" spans="1:5" ht="25.5" hidden="1">
      <c r="A129" s="448" t="s">
        <v>108</v>
      </c>
      <c r="B129" s="196" t="s">
        <v>62</v>
      </c>
      <c r="C129" s="464"/>
      <c r="D129" s="571">
        <f>D130+D132</f>
        <v>0</v>
      </c>
      <c r="E129" s="571">
        <f>E130</f>
        <v>0</v>
      </c>
    </row>
    <row r="130" spans="1:5" ht="38.25" hidden="1">
      <c r="A130" s="308" t="s">
        <v>153</v>
      </c>
      <c r="B130" s="196" t="s">
        <v>63</v>
      </c>
      <c r="C130" s="464"/>
      <c r="D130" s="571">
        <f>D131</f>
        <v>0</v>
      </c>
      <c r="E130" s="571">
        <f>E131</f>
        <v>0</v>
      </c>
    </row>
    <row r="131" spans="1:5" ht="41.25" customHeight="1" hidden="1">
      <c r="A131" s="443" t="s">
        <v>90</v>
      </c>
      <c r="B131" s="196" t="s">
        <v>63</v>
      </c>
      <c r="C131" s="464">
        <v>600</v>
      </c>
      <c r="D131" s="488"/>
      <c r="E131" s="488"/>
    </row>
    <row r="132" spans="1:5" ht="41.25" customHeight="1" hidden="1">
      <c r="A132" s="448" t="s">
        <v>61</v>
      </c>
      <c r="B132" s="196" t="s">
        <v>354</v>
      </c>
      <c r="C132" s="464"/>
      <c r="D132" s="488">
        <f>D133</f>
        <v>0</v>
      </c>
      <c r="E132" s="488"/>
    </row>
    <row r="133" spans="1:5" ht="41.25" customHeight="1" hidden="1">
      <c r="A133" s="443" t="s">
        <v>90</v>
      </c>
      <c r="B133" s="196" t="s">
        <v>354</v>
      </c>
      <c r="C133" s="464">
        <v>600</v>
      </c>
      <c r="D133" s="488"/>
      <c r="E133" s="488"/>
    </row>
    <row r="134" spans="1:5" ht="51">
      <c r="A134" s="4" t="s">
        <v>5</v>
      </c>
      <c r="B134" s="199" t="s">
        <v>306</v>
      </c>
      <c r="C134" s="195" t="s">
        <v>87</v>
      </c>
      <c r="D134" s="571">
        <f aca="true" t="shared" si="0" ref="D134:E136">D135</f>
        <v>16455200</v>
      </c>
      <c r="E134" s="571">
        <f t="shared" si="0"/>
        <v>16683807</v>
      </c>
    </row>
    <row r="135" spans="1:5" ht="38.25">
      <c r="A135" s="7" t="s">
        <v>460</v>
      </c>
      <c r="B135" s="196" t="s">
        <v>307</v>
      </c>
      <c r="C135" s="195"/>
      <c r="D135" s="571">
        <f t="shared" si="0"/>
        <v>16455200</v>
      </c>
      <c r="E135" s="571">
        <f t="shared" si="0"/>
        <v>16683807</v>
      </c>
    </row>
    <row r="136" spans="1:5" ht="25.5">
      <c r="A136" s="198" t="s">
        <v>494</v>
      </c>
      <c r="B136" s="196" t="s">
        <v>308</v>
      </c>
      <c r="C136" s="195" t="s">
        <v>87</v>
      </c>
      <c r="D136" s="571">
        <f t="shared" si="0"/>
        <v>16455200</v>
      </c>
      <c r="E136" s="571">
        <f t="shared" si="0"/>
        <v>16683807</v>
      </c>
    </row>
    <row r="137" spans="1:5" ht="38.25">
      <c r="A137" s="469" t="s">
        <v>90</v>
      </c>
      <c r="B137" s="192" t="s">
        <v>308</v>
      </c>
      <c r="C137" s="191">
        <v>600</v>
      </c>
      <c r="D137" s="574">
        <f>17773514-1318314</f>
        <v>16455200</v>
      </c>
      <c r="E137" s="574">
        <v>16683807</v>
      </c>
    </row>
    <row r="138" spans="1:5" ht="63.75">
      <c r="A138" s="465" t="s">
        <v>711</v>
      </c>
      <c r="B138" s="257" t="s">
        <v>8</v>
      </c>
      <c r="C138" s="172" t="s">
        <v>87</v>
      </c>
      <c r="D138" s="570">
        <f aca="true" t="shared" si="1" ref="D138:E140">D139</f>
        <v>662105</v>
      </c>
      <c r="E138" s="570">
        <f t="shared" si="1"/>
        <v>903118</v>
      </c>
    </row>
    <row r="139" spans="1:5" ht="89.25">
      <c r="A139" s="214" t="s">
        <v>712</v>
      </c>
      <c r="B139" s="196" t="s">
        <v>9</v>
      </c>
      <c r="C139" s="209" t="s">
        <v>87</v>
      </c>
      <c r="D139" s="571">
        <f t="shared" si="1"/>
        <v>662105</v>
      </c>
      <c r="E139" s="571">
        <f t="shared" si="1"/>
        <v>903118</v>
      </c>
    </row>
    <row r="140" spans="1:5" ht="51">
      <c r="A140" s="8" t="s">
        <v>37</v>
      </c>
      <c r="B140" s="196" t="s">
        <v>10</v>
      </c>
      <c r="C140" s="209"/>
      <c r="D140" s="571">
        <f t="shared" si="1"/>
        <v>662105</v>
      </c>
      <c r="E140" s="571">
        <f t="shared" si="1"/>
        <v>903118</v>
      </c>
    </row>
    <row r="141" spans="1:5" ht="25.5">
      <c r="A141" s="198" t="s">
        <v>283</v>
      </c>
      <c r="B141" s="196" t="s">
        <v>11</v>
      </c>
      <c r="C141" s="209" t="s">
        <v>87</v>
      </c>
      <c r="D141" s="571">
        <f>SUM(D142:D143)</f>
        <v>662105</v>
      </c>
      <c r="E141" s="571">
        <f>SUM(E142:E143)</f>
        <v>903118</v>
      </c>
    </row>
    <row r="142" spans="1:5" ht="25.5">
      <c r="A142" s="5" t="s">
        <v>228</v>
      </c>
      <c r="B142" s="196" t="s">
        <v>11</v>
      </c>
      <c r="C142" s="195" t="s">
        <v>74</v>
      </c>
      <c r="D142" s="488">
        <v>203125</v>
      </c>
      <c r="E142" s="488">
        <v>472278</v>
      </c>
    </row>
    <row r="143" spans="1:5" ht="12.75">
      <c r="A143" s="193" t="s">
        <v>77</v>
      </c>
      <c r="B143" s="192" t="s">
        <v>11</v>
      </c>
      <c r="C143" s="191">
        <v>800</v>
      </c>
      <c r="D143" s="574">
        <v>458980</v>
      </c>
      <c r="E143" s="574">
        <v>430840</v>
      </c>
    </row>
    <row r="144" spans="1:5" ht="63.75">
      <c r="A144" s="204" t="s">
        <v>479</v>
      </c>
      <c r="B144" s="257" t="s">
        <v>32</v>
      </c>
      <c r="C144" s="172"/>
      <c r="D144" s="570">
        <f>D145+D153</f>
        <v>6249232.2</v>
      </c>
      <c r="E144" s="570">
        <f>E145+E153</f>
        <v>3989979.84</v>
      </c>
    </row>
    <row r="145" spans="1:5" ht="102" hidden="1">
      <c r="A145" s="4" t="s">
        <v>215</v>
      </c>
      <c r="B145" s="196" t="s">
        <v>216</v>
      </c>
      <c r="C145" s="227"/>
      <c r="D145" s="571">
        <f>D146</f>
        <v>0</v>
      </c>
      <c r="E145" s="571">
        <f>E146</f>
        <v>0</v>
      </c>
    </row>
    <row r="146" spans="1:5" ht="38.25" hidden="1">
      <c r="A146" s="448" t="s">
        <v>749</v>
      </c>
      <c r="B146" s="196" t="s">
        <v>64</v>
      </c>
      <c r="C146" s="227"/>
      <c r="D146" s="571">
        <f>D147+D149+D151</f>
        <v>0</v>
      </c>
      <c r="E146" s="571">
        <f>E151</f>
        <v>0</v>
      </c>
    </row>
    <row r="147" spans="1:5" ht="38.25" hidden="1">
      <c r="A147" s="448" t="s">
        <v>92</v>
      </c>
      <c r="B147" s="196" t="s">
        <v>705</v>
      </c>
      <c r="C147" s="227"/>
      <c r="D147" s="571">
        <f>D148</f>
        <v>0</v>
      </c>
      <c r="E147" s="571"/>
    </row>
    <row r="148" spans="1:5" ht="25.5" hidden="1">
      <c r="A148" s="443" t="s">
        <v>221</v>
      </c>
      <c r="B148" s="196" t="s">
        <v>705</v>
      </c>
      <c r="C148" s="195">
        <v>400</v>
      </c>
      <c r="D148" s="571"/>
      <c r="E148" s="571"/>
    </row>
    <row r="149" spans="1:5" ht="38.25" hidden="1">
      <c r="A149" s="448" t="s">
        <v>93</v>
      </c>
      <c r="B149" s="196" t="s">
        <v>706</v>
      </c>
      <c r="C149" s="227"/>
      <c r="D149" s="571">
        <f>D150</f>
        <v>0</v>
      </c>
      <c r="E149" s="571"/>
    </row>
    <row r="150" spans="1:5" ht="25.5" hidden="1">
      <c r="A150" s="443" t="s">
        <v>221</v>
      </c>
      <c r="B150" s="196" t="s">
        <v>706</v>
      </c>
      <c r="C150" s="195">
        <v>400</v>
      </c>
      <c r="D150" s="571"/>
      <c r="E150" s="571"/>
    </row>
    <row r="151" spans="1:5" ht="76.5" hidden="1">
      <c r="A151" s="453" t="s">
        <v>67</v>
      </c>
      <c r="B151" s="196" t="s">
        <v>292</v>
      </c>
      <c r="C151" s="227"/>
      <c r="D151" s="571">
        <f>D152</f>
        <v>0</v>
      </c>
      <c r="E151" s="571">
        <f>E152</f>
        <v>0</v>
      </c>
    </row>
    <row r="152" spans="1:5" ht="25.5" hidden="1">
      <c r="A152" s="443" t="s">
        <v>221</v>
      </c>
      <c r="B152" s="196" t="s">
        <v>292</v>
      </c>
      <c r="C152" s="195">
        <v>400</v>
      </c>
      <c r="D152" s="488"/>
      <c r="E152" s="488"/>
    </row>
    <row r="153" spans="1:5" ht="89.25">
      <c r="A153" s="4" t="s">
        <v>480</v>
      </c>
      <c r="B153" s="199" t="s">
        <v>556</v>
      </c>
      <c r="C153" s="227"/>
      <c r="D153" s="571">
        <f>D154+D157</f>
        <v>6249232.2</v>
      </c>
      <c r="E153" s="571">
        <f>E154+E157</f>
        <v>3989979.84</v>
      </c>
    </row>
    <row r="154" spans="1:5" ht="38.25">
      <c r="A154" s="7" t="s">
        <v>234</v>
      </c>
      <c r="B154" s="196" t="s">
        <v>267</v>
      </c>
      <c r="C154" s="227"/>
      <c r="D154" s="571">
        <f>D155</f>
        <v>684000</v>
      </c>
      <c r="E154" s="571">
        <f>E155</f>
        <v>288308</v>
      </c>
    </row>
    <row r="155" spans="1:5" ht="24">
      <c r="A155" s="9" t="s">
        <v>266</v>
      </c>
      <c r="B155" s="196" t="s">
        <v>265</v>
      </c>
      <c r="C155" s="227"/>
      <c r="D155" s="571">
        <f>SUM(D156:D156)</f>
        <v>684000</v>
      </c>
      <c r="E155" s="571">
        <f>SUM(E156:E156)</f>
        <v>288308</v>
      </c>
    </row>
    <row r="156" spans="1:5" ht="25.5">
      <c r="A156" s="5" t="s">
        <v>228</v>
      </c>
      <c r="B156" s="196" t="s">
        <v>265</v>
      </c>
      <c r="C156" s="195">
        <v>200</v>
      </c>
      <c r="D156" s="488">
        <v>684000</v>
      </c>
      <c r="E156" s="488">
        <f>642063-353755</f>
        <v>288308</v>
      </c>
    </row>
    <row r="157" spans="1:5" ht="38.25">
      <c r="A157" s="7" t="s">
        <v>353</v>
      </c>
      <c r="B157" s="196" t="s">
        <v>454</v>
      </c>
      <c r="C157" s="195"/>
      <c r="D157" s="571">
        <f>D158</f>
        <v>5565232.2</v>
      </c>
      <c r="E157" s="571">
        <f>E158</f>
        <v>3701671.84</v>
      </c>
    </row>
    <row r="158" spans="1:5" ht="12.75">
      <c r="A158" s="12" t="s">
        <v>732</v>
      </c>
      <c r="B158" s="196" t="s">
        <v>455</v>
      </c>
      <c r="C158" s="195" t="s">
        <v>87</v>
      </c>
      <c r="D158" s="571">
        <f>SUM(D159:D160)</f>
        <v>5565232.2</v>
      </c>
      <c r="E158" s="571">
        <f>SUM(E159:E160)</f>
        <v>3701671.84</v>
      </c>
    </row>
    <row r="159" spans="1:5" ht="25.5">
      <c r="A159" s="5" t="s">
        <v>228</v>
      </c>
      <c r="B159" s="196" t="s">
        <v>455</v>
      </c>
      <c r="C159" s="195">
        <v>200</v>
      </c>
      <c r="D159" s="488">
        <v>2467763</v>
      </c>
      <c r="E159" s="488">
        <v>2316462</v>
      </c>
    </row>
    <row r="160" spans="1:5" ht="12.75">
      <c r="A160" s="193" t="s">
        <v>77</v>
      </c>
      <c r="B160" s="192" t="s">
        <v>455</v>
      </c>
      <c r="C160" s="191">
        <v>800</v>
      </c>
      <c r="D160" s="574">
        <f>4632046-1534576.8</f>
        <v>3097469.2</v>
      </c>
      <c r="E160" s="574">
        <v>1385209.84</v>
      </c>
    </row>
    <row r="161" spans="1:5" ht="63.75">
      <c r="A161" s="204" t="s">
        <v>438</v>
      </c>
      <c r="B161" s="257" t="s">
        <v>437</v>
      </c>
      <c r="C161" s="172" t="s">
        <v>87</v>
      </c>
      <c r="D161" s="570">
        <f>D162+D173</f>
        <v>1661036</v>
      </c>
      <c r="E161" s="570">
        <f>E162+E173</f>
        <v>1654476</v>
      </c>
    </row>
    <row r="162" spans="1:5" ht="89.25">
      <c r="A162" s="4" t="s">
        <v>352</v>
      </c>
      <c r="B162" s="199" t="s">
        <v>488</v>
      </c>
      <c r="C162" s="195" t="s">
        <v>87</v>
      </c>
      <c r="D162" s="571">
        <f>D163+D170</f>
        <v>1611036</v>
      </c>
      <c r="E162" s="571">
        <f>E163+E170</f>
        <v>1607541</v>
      </c>
    </row>
    <row r="163" spans="1:5" ht="25.5">
      <c r="A163" s="12" t="s">
        <v>487</v>
      </c>
      <c r="B163" s="196" t="s">
        <v>486</v>
      </c>
      <c r="C163" s="195"/>
      <c r="D163" s="571">
        <f>D164+D167</f>
        <v>1561036</v>
      </c>
      <c r="E163" s="571">
        <f>E164+E167</f>
        <v>1560607</v>
      </c>
    </row>
    <row r="164" spans="1:5" ht="12.75">
      <c r="A164" s="12" t="s">
        <v>485</v>
      </c>
      <c r="B164" s="196" t="s">
        <v>484</v>
      </c>
      <c r="C164" s="195"/>
      <c r="D164" s="571">
        <f>D165+D166</f>
        <v>7000</v>
      </c>
      <c r="E164" s="571">
        <f>E165+E166</f>
        <v>6571</v>
      </c>
    </row>
    <row r="165" spans="1:5" ht="25.5" hidden="1">
      <c r="A165" s="5" t="s">
        <v>228</v>
      </c>
      <c r="B165" s="196" t="s">
        <v>484</v>
      </c>
      <c r="C165" s="195">
        <v>200</v>
      </c>
      <c r="D165" s="571"/>
      <c r="E165" s="571"/>
    </row>
    <row r="166" spans="1:5" ht="38.25">
      <c r="A166" s="5" t="s">
        <v>90</v>
      </c>
      <c r="B166" s="196" t="s">
        <v>484</v>
      </c>
      <c r="C166" s="195">
        <v>600</v>
      </c>
      <c r="D166" s="488">
        <v>7000</v>
      </c>
      <c r="E166" s="488">
        <v>6571</v>
      </c>
    </row>
    <row r="167" spans="1:5" ht="25.5">
      <c r="A167" s="454" t="s">
        <v>495</v>
      </c>
      <c r="B167" s="196" t="s">
        <v>281</v>
      </c>
      <c r="C167" s="198"/>
      <c r="D167" s="571">
        <f>D168+D169</f>
        <v>1554036</v>
      </c>
      <c r="E167" s="571">
        <f>E168+E169</f>
        <v>1554036</v>
      </c>
    </row>
    <row r="168" spans="1:5" ht="25.5">
      <c r="A168" s="5" t="s">
        <v>81</v>
      </c>
      <c r="B168" s="196" t="s">
        <v>281</v>
      </c>
      <c r="C168" s="198">
        <v>300</v>
      </c>
      <c r="D168" s="571">
        <v>691391</v>
      </c>
      <c r="E168" s="571">
        <v>691391</v>
      </c>
    </row>
    <row r="169" spans="1:5" ht="38.25">
      <c r="A169" s="5" t="s">
        <v>90</v>
      </c>
      <c r="B169" s="196" t="s">
        <v>281</v>
      </c>
      <c r="C169" s="198">
        <v>600</v>
      </c>
      <c r="D169" s="488">
        <v>862645</v>
      </c>
      <c r="E169" s="488">
        <v>862645</v>
      </c>
    </row>
    <row r="170" spans="1:5" ht="51">
      <c r="A170" s="12" t="s">
        <v>752</v>
      </c>
      <c r="B170" s="196" t="s">
        <v>753</v>
      </c>
      <c r="C170" s="195"/>
      <c r="D170" s="571">
        <f>D171</f>
        <v>50000</v>
      </c>
      <c r="E170" s="571">
        <f>E171</f>
        <v>46934</v>
      </c>
    </row>
    <row r="171" spans="1:5" ht="25.5">
      <c r="A171" s="12" t="s">
        <v>755</v>
      </c>
      <c r="B171" s="196" t="s">
        <v>754</v>
      </c>
      <c r="C171" s="195"/>
      <c r="D171" s="571">
        <f>D172</f>
        <v>50000</v>
      </c>
      <c r="E171" s="571">
        <f>E172</f>
        <v>46934</v>
      </c>
    </row>
    <row r="172" spans="1:5" ht="25.5">
      <c r="A172" s="5" t="s">
        <v>228</v>
      </c>
      <c r="B172" s="196" t="s">
        <v>754</v>
      </c>
      <c r="C172" s="195">
        <v>200</v>
      </c>
      <c r="D172" s="488">
        <v>50000</v>
      </c>
      <c r="E172" s="488">
        <v>46934</v>
      </c>
    </row>
    <row r="173" spans="1:5" ht="76.5">
      <c r="A173" s="4" t="s">
        <v>436</v>
      </c>
      <c r="B173" s="196" t="s">
        <v>248</v>
      </c>
      <c r="C173" s="209" t="s">
        <v>87</v>
      </c>
      <c r="D173" s="571">
        <f aca="true" t="shared" si="2" ref="D173:E175">D174</f>
        <v>50000</v>
      </c>
      <c r="E173" s="571">
        <f t="shared" si="2"/>
        <v>46935</v>
      </c>
    </row>
    <row r="174" spans="1:5" ht="63.75">
      <c r="A174" s="12" t="s">
        <v>247</v>
      </c>
      <c r="B174" s="196" t="s">
        <v>246</v>
      </c>
      <c r="C174" s="209"/>
      <c r="D174" s="571">
        <f t="shared" si="2"/>
        <v>50000</v>
      </c>
      <c r="E174" s="571">
        <f t="shared" si="2"/>
        <v>46935</v>
      </c>
    </row>
    <row r="175" spans="1:5" ht="51">
      <c r="A175" s="12" t="s">
        <v>245</v>
      </c>
      <c r="B175" s="196" t="s">
        <v>244</v>
      </c>
      <c r="C175" s="209"/>
      <c r="D175" s="571">
        <f t="shared" si="2"/>
        <v>50000</v>
      </c>
      <c r="E175" s="571">
        <f t="shared" si="2"/>
        <v>46935</v>
      </c>
    </row>
    <row r="176" spans="1:5" ht="25.5">
      <c r="A176" s="193" t="s">
        <v>228</v>
      </c>
      <c r="B176" s="192" t="s">
        <v>244</v>
      </c>
      <c r="C176" s="191">
        <v>200</v>
      </c>
      <c r="D176" s="574">
        <v>50000</v>
      </c>
      <c r="E176" s="574">
        <v>46935</v>
      </c>
    </row>
    <row r="177" spans="1:5" ht="63.75">
      <c r="A177" s="204" t="s">
        <v>478</v>
      </c>
      <c r="B177" s="257" t="s">
        <v>29</v>
      </c>
      <c r="C177" s="258" t="s">
        <v>87</v>
      </c>
      <c r="D177" s="570">
        <f>D178+D188+D192</f>
        <v>4462006.8</v>
      </c>
      <c r="E177" s="570">
        <f>E178+E188+E192</f>
        <v>33729970.54</v>
      </c>
    </row>
    <row r="178" spans="1:5" ht="89.25">
      <c r="A178" s="4" t="s">
        <v>47</v>
      </c>
      <c r="B178" s="199" t="s">
        <v>233</v>
      </c>
      <c r="C178" s="209" t="s">
        <v>87</v>
      </c>
      <c r="D178" s="571">
        <f>D179+D182+D185</f>
        <v>2727158</v>
      </c>
      <c r="E178" s="571">
        <f>E179+E182+E185</f>
        <v>33729970.54</v>
      </c>
    </row>
    <row r="179" spans="1:5" ht="38.25">
      <c r="A179" s="8" t="s">
        <v>232</v>
      </c>
      <c r="B179" s="196" t="s">
        <v>231</v>
      </c>
      <c r="C179" s="209"/>
      <c r="D179" s="571">
        <f>D180</f>
        <v>299728</v>
      </c>
      <c r="E179" s="571">
        <f>E180</f>
        <v>0</v>
      </c>
    </row>
    <row r="180" spans="1:5" ht="38.25">
      <c r="A180" s="12" t="s">
        <v>31</v>
      </c>
      <c r="B180" s="196" t="s">
        <v>230</v>
      </c>
      <c r="C180" s="209"/>
      <c r="D180" s="571">
        <f>D181</f>
        <v>299728</v>
      </c>
      <c r="E180" s="571">
        <f>E181</f>
        <v>0</v>
      </c>
    </row>
    <row r="181" spans="1:5" ht="12.75">
      <c r="A181" s="5" t="s">
        <v>77</v>
      </c>
      <c r="B181" s="196" t="s">
        <v>230</v>
      </c>
      <c r="C181" s="195">
        <v>800</v>
      </c>
      <c r="D181" s="488">
        <v>299728</v>
      </c>
      <c r="E181" s="488">
        <v>0</v>
      </c>
    </row>
    <row r="182" spans="1:5" ht="38.25">
      <c r="A182" s="8" t="s">
        <v>229</v>
      </c>
      <c r="B182" s="196" t="s">
        <v>250</v>
      </c>
      <c r="C182" s="209"/>
      <c r="D182" s="571">
        <f>D183</f>
        <v>2427430</v>
      </c>
      <c r="E182" s="571">
        <f>E183</f>
        <v>33729970.54</v>
      </c>
    </row>
    <row r="183" spans="1:5" ht="38.25">
      <c r="A183" s="49" t="s">
        <v>628</v>
      </c>
      <c r="B183" s="48" t="s">
        <v>627</v>
      </c>
      <c r="C183" s="195" t="s">
        <v>87</v>
      </c>
      <c r="D183" s="571">
        <f>D184</f>
        <v>2427430</v>
      </c>
      <c r="E183" s="571">
        <f>E184</f>
        <v>33729970.54</v>
      </c>
    </row>
    <row r="184" spans="1:5" ht="25.5">
      <c r="A184" s="5" t="s">
        <v>228</v>
      </c>
      <c r="B184" s="48" t="s">
        <v>627</v>
      </c>
      <c r="C184" s="195">
        <v>200</v>
      </c>
      <c r="D184" s="488">
        <v>2427430</v>
      </c>
      <c r="E184" s="488">
        <f>26654878.16+7075092.38</f>
        <v>33729970.54</v>
      </c>
    </row>
    <row r="185" spans="1:5" ht="51" hidden="1">
      <c r="A185" s="5" t="s">
        <v>65</v>
      </c>
      <c r="B185" s="196" t="s">
        <v>66</v>
      </c>
      <c r="C185" s="195"/>
      <c r="D185" s="571">
        <f>D186</f>
        <v>0</v>
      </c>
      <c r="E185" s="571">
        <f>E186</f>
        <v>0</v>
      </c>
    </row>
    <row r="186" spans="1:5" ht="24" hidden="1">
      <c r="A186" s="438" t="s">
        <v>744</v>
      </c>
      <c r="B186" s="196" t="s">
        <v>745</v>
      </c>
      <c r="C186" s="195"/>
      <c r="D186" s="571">
        <f>D187</f>
        <v>0</v>
      </c>
      <c r="E186" s="571">
        <f>E187</f>
        <v>0</v>
      </c>
    </row>
    <row r="187" spans="1:5" ht="25.5" hidden="1">
      <c r="A187" s="443" t="s">
        <v>221</v>
      </c>
      <c r="B187" s="196" t="s">
        <v>745</v>
      </c>
      <c r="C187" s="195">
        <v>400</v>
      </c>
      <c r="D187" s="488"/>
      <c r="E187" s="488"/>
    </row>
    <row r="188" spans="1:5" ht="89.25">
      <c r="A188" s="4" t="s">
        <v>260</v>
      </c>
      <c r="B188" s="199" t="s">
        <v>30</v>
      </c>
      <c r="C188" s="195"/>
      <c r="D188" s="571">
        <f aca="true" t="shared" si="3" ref="D188:E190">D189</f>
        <v>200272</v>
      </c>
      <c r="E188" s="571">
        <f t="shared" si="3"/>
        <v>0</v>
      </c>
    </row>
    <row r="189" spans="1:5" ht="76.5">
      <c r="A189" s="8" t="s">
        <v>99</v>
      </c>
      <c r="B189" s="196" t="s">
        <v>449</v>
      </c>
      <c r="C189" s="195"/>
      <c r="D189" s="571">
        <f t="shared" si="3"/>
        <v>200272</v>
      </c>
      <c r="E189" s="571">
        <f t="shared" si="3"/>
        <v>0</v>
      </c>
    </row>
    <row r="190" spans="1:5" ht="25.5">
      <c r="A190" s="12" t="s">
        <v>348</v>
      </c>
      <c r="B190" s="196" t="s">
        <v>347</v>
      </c>
      <c r="C190" s="195"/>
      <c r="D190" s="571">
        <f t="shared" si="3"/>
        <v>200272</v>
      </c>
      <c r="E190" s="571">
        <f t="shared" si="3"/>
        <v>0</v>
      </c>
    </row>
    <row r="191" spans="1:5" ht="12.75">
      <c r="A191" s="12" t="s">
        <v>77</v>
      </c>
      <c r="B191" s="196" t="s">
        <v>347</v>
      </c>
      <c r="C191" s="195">
        <v>800</v>
      </c>
      <c r="D191" s="571">
        <v>200272</v>
      </c>
      <c r="E191" s="571">
        <v>0</v>
      </c>
    </row>
    <row r="192" spans="1:5" ht="25.5">
      <c r="A192" s="591" t="s">
        <v>887</v>
      </c>
      <c r="B192" s="196" t="s">
        <v>919</v>
      </c>
      <c r="C192" s="195"/>
      <c r="D192" s="571">
        <f aca="true" t="shared" si="4" ref="D192:E194">D193</f>
        <v>1534576.8</v>
      </c>
      <c r="E192" s="571">
        <f t="shared" si="4"/>
        <v>0</v>
      </c>
    </row>
    <row r="193" spans="1:5" ht="38.25">
      <c r="A193" s="12" t="s">
        <v>888</v>
      </c>
      <c r="B193" s="196" t="s">
        <v>920</v>
      </c>
      <c r="C193" s="195"/>
      <c r="D193" s="571">
        <f t="shared" si="4"/>
        <v>1534576.8</v>
      </c>
      <c r="E193" s="571">
        <f t="shared" si="4"/>
        <v>0</v>
      </c>
    </row>
    <row r="194" spans="1:5" ht="12.75">
      <c r="A194" s="12" t="s">
        <v>889</v>
      </c>
      <c r="B194" s="196" t="s">
        <v>921</v>
      </c>
      <c r="C194" s="195"/>
      <c r="D194" s="571">
        <f t="shared" si="4"/>
        <v>1534576.8</v>
      </c>
      <c r="E194" s="571">
        <f t="shared" si="4"/>
        <v>0</v>
      </c>
    </row>
    <row r="195" spans="1:5" ht="25.5">
      <c r="A195" s="12" t="s">
        <v>228</v>
      </c>
      <c r="B195" s="196" t="s">
        <v>921</v>
      </c>
      <c r="C195" s="195">
        <v>200</v>
      </c>
      <c r="D195" s="571">
        <v>1534576.8</v>
      </c>
      <c r="E195" s="571"/>
    </row>
    <row r="196" spans="1:5" ht="63.75">
      <c r="A196" s="204" t="s">
        <v>296</v>
      </c>
      <c r="B196" s="172" t="s">
        <v>12</v>
      </c>
      <c r="C196" s="172"/>
      <c r="D196" s="570">
        <f>D197</f>
        <v>384700</v>
      </c>
      <c r="E196" s="570">
        <f>E197</f>
        <v>381634</v>
      </c>
    </row>
    <row r="197" spans="1:5" ht="76.5">
      <c r="A197" s="4" t="s">
        <v>297</v>
      </c>
      <c r="B197" s="195" t="s">
        <v>13</v>
      </c>
      <c r="C197" s="195"/>
      <c r="D197" s="571">
        <f>D198+D201</f>
        <v>384700</v>
      </c>
      <c r="E197" s="571">
        <f>E198+E201</f>
        <v>381634</v>
      </c>
    </row>
    <row r="198" spans="1:5" ht="38.25">
      <c r="A198" s="53" t="s">
        <v>284</v>
      </c>
      <c r="B198" s="195" t="s">
        <v>110</v>
      </c>
      <c r="C198" s="195"/>
      <c r="D198" s="571">
        <f>D199</f>
        <v>50000</v>
      </c>
      <c r="E198" s="571">
        <f>E199</f>
        <v>46934</v>
      </c>
    </row>
    <row r="199" spans="1:5" ht="36">
      <c r="A199" s="438" t="s">
        <v>271</v>
      </c>
      <c r="B199" s="51" t="s">
        <v>285</v>
      </c>
      <c r="C199" s="51"/>
      <c r="D199" s="571">
        <f>D200</f>
        <v>50000</v>
      </c>
      <c r="E199" s="571">
        <f>E200</f>
        <v>46934</v>
      </c>
    </row>
    <row r="200" spans="1:5" ht="25.5">
      <c r="A200" s="53" t="s">
        <v>228</v>
      </c>
      <c r="B200" s="51" t="s">
        <v>285</v>
      </c>
      <c r="C200" s="51">
        <v>200</v>
      </c>
      <c r="D200" s="571">
        <v>50000</v>
      </c>
      <c r="E200" s="571">
        <v>46934</v>
      </c>
    </row>
    <row r="201" spans="1:5" ht="38.25">
      <c r="A201" s="5" t="s">
        <v>286</v>
      </c>
      <c r="B201" s="195" t="s">
        <v>275</v>
      </c>
      <c r="C201" s="195"/>
      <c r="D201" s="571">
        <f>D202</f>
        <v>334700</v>
      </c>
      <c r="E201" s="571">
        <f>E202</f>
        <v>334700</v>
      </c>
    </row>
    <row r="202" spans="1:5" ht="51">
      <c r="A202" s="5" t="s">
        <v>109</v>
      </c>
      <c r="B202" s="195" t="s">
        <v>287</v>
      </c>
      <c r="C202" s="195"/>
      <c r="D202" s="571">
        <f>SUM(D203:D204)</f>
        <v>334700</v>
      </c>
      <c r="E202" s="571">
        <f>SUM(E203:E204)</f>
        <v>334700</v>
      </c>
    </row>
    <row r="203" spans="1:5" ht="63.75">
      <c r="A203" s="5" t="s">
        <v>735</v>
      </c>
      <c r="B203" s="195" t="s">
        <v>287</v>
      </c>
      <c r="C203" s="195">
        <v>100</v>
      </c>
      <c r="D203" s="488">
        <v>334700</v>
      </c>
      <c r="E203" s="488">
        <v>334700</v>
      </c>
    </row>
    <row r="204" spans="1:5" ht="25.5" hidden="1">
      <c r="A204" s="193" t="s">
        <v>228</v>
      </c>
      <c r="B204" s="191" t="s">
        <v>287</v>
      </c>
      <c r="C204" s="191">
        <v>200</v>
      </c>
      <c r="D204" s="574"/>
      <c r="E204" s="574"/>
    </row>
    <row r="205" spans="1:5" ht="63.75">
      <c r="A205" s="204" t="s">
        <v>482</v>
      </c>
      <c r="B205" s="257" t="s">
        <v>19</v>
      </c>
      <c r="C205" s="172" t="s">
        <v>87</v>
      </c>
      <c r="D205" s="570">
        <f aca="true" t="shared" si="5" ref="D205:E207">D206</f>
        <v>2707710</v>
      </c>
      <c r="E205" s="570">
        <f t="shared" si="5"/>
        <v>2541699</v>
      </c>
    </row>
    <row r="206" spans="1:5" ht="89.25">
      <c r="A206" s="440" t="s">
        <v>294</v>
      </c>
      <c r="B206" s="196" t="s">
        <v>883</v>
      </c>
      <c r="C206" s="195"/>
      <c r="D206" s="571">
        <f t="shared" si="5"/>
        <v>2707710</v>
      </c>
      <c r="E206" s="571">
        <f t="shared" si="5"/>
        <v>2541699</v>
      </c>
    </row>
    <row r="207" spans="1:5" ht="76.5">
      <c r="A207" s="7" t="s">
        <v>259</v>
      </c>
      <c r="B207" s="196" t="s">
        <v>932</v>
      </c>
      <c r="C207" s="195"/>
      <c r="D207" s="571">
        <f t="shared" si="5"/>
        <v>2707710</v>
      </c>
      <c r="E207" s="571">
        <f t="shared" si="5"/>
        <v>2541699</v>
      </c>
    </row>
    <row r="208" spans="1:5" ht="25.5">
      <c r="A208" s="198" t="s">
        <v>494</v>
      </c>
      <c r="B208" s="196" t="s">
        <v>927</v>
      </c>
      <c r="C208" s="195" t="s">
        <v>87</v>
      </c>
      <c r="D208" s="571">
        <f>SUM(D209:D211)</f>
        <v>2707710</v>
      </c>
      <c r="E208" s="571">
        <f>SUM(E209:E211)</f>
        <v>2541699</v>
      </c>
    </row>
    <row r="209" spans="1:5" ht="63.75">
      <c r="A209" s="5" t="s">
        <v>735</v>
      </c>
      <c r="B209" s="196" t="s">
        <v>927</v>
      </c>
      <c r="C209" s="195" t="s">
        <v>592</v>
      </c>
      <c r="D209" s="488">
        <v>2562144</v>
      </c>
      <c r="E209" s="488">
        <v>2405057</v>
      </c>
    </row>
    <row r="210" spans="1:5" ht="25.5">
      <c r="A210" s="5" t="s">
        <v>228</v>
      </c>
      <c r="B210" s="196" t="s">
        <v>927</v>
      </c>
      <c r="C210" s="195" t="s">
        <v>74</v>
      </c>
      <c r="D210" s="488">
        <v>144366</v>
      </c>
      <c r="E210" s="488">
        <v>135515</v>
      </c>
    </row>
    <row r="211" spans="1:5" ht="12.75">
      <c r="A211" s="193" t="s">
        <v>77</v>
      </c>
      <c r="B211" s="196" t="s">
        <v>927</v>
      </c>
      <c r="C211" s="191" t="s">
        <v>78</v>
      </c>
      <c r="D211" s="574">
        <v>1200</v>
      </c>
      <c r="E211" s="574">
        <v>1127</v>
      </c>
    </row>
    <row r="212" spans="1:5" ht="25.5">
      <c r="A212" s="204" t="s">
        <v>171</v>
      </c>
      <c r="B212" s="257" t="s">
        <v>693</v>
      </c>
      <c r="C212" s="258" t="s">
        <v>87</v>
      </c>
      <c r="D212" s="570">
        <f>D213+D217</f>
        <v>4276347</v>
      </c>
      <c r="E212" s="570">
        <f>E213+E217</f>
        <v>4014161</v>
      </c>
    </row>
    <row r="213" spans="1:5" ht="51">
      <c r="A213" s="4" t="s">
        <v>391</v>
      </c>
      <c r="B213" s="196" t="s">
        <v>119</v>
      </c>
      <c r="C213" s="209" t="s">
        <v>87</v>
      </c>
      <c r="D213" s="571">
        <f aca="true" t="shared" si="6" ref="D213:E215">D214</f>
        <v>55000</v>
      </c>
      <c r="E213" s="571">
        <f t="shared" si="6"/>
        <v>51628</v>
      </c>
    </row>
    <row r="214" spans="1:5" ht="51">
      <c r="A214" s="7" t="s">
        <v>118</v>
      </c>
      <c r="B214" s="196" t="s">
        <v>120</v>
      </c>
      <c r="C214" s="209"/>
      <c r="D214" s="571">
        <f t="shared" si="6"/>
        <v>55000</v>
      </c>
      <c r="E214" s="571">
        <f t="shared" si="6"/>
        <v>51628</v>
      </c>
    </row>
    <row r="215" spans="1:5" ht="12.75">
      <c r="A215" s="12" t="s">
        <v>121</v>
      </c>
      <c r="B215" s="196" t="s">
        <v>122</v>
      </c>
      <c r="C215" s="209" t="s">
        <v>87</v>
      </c>
      <c r="D215" s="571">
        <f t="shared" si="6"/>
        <v>55000</v>
      </c>
      <c r="E215" s="571">
        <f t="shared" si="6"/>
        <v>51628</v>
      </c>
    </row>
    <row r="216" spans="1:5" ht="25.5">
      <c r="A216" s="5" t="s">
        <v>493</v>
      </c>
      <c r="B216" s="196" t="s">
        <v>122</v>
      </c>
      <c r="C216" s="195" t="s">
        <v>82</v>
      </c>
      <c r="D216" s="488">
        <v>55000</v>
      </c>
      <c r="E216" s="488">
        <v>51628</v>
      </c>
    </row>
    <row r="217" spans="1:5" ht="51">
      <c r="A217" s="4" t="s">
        <v>173</v>
      </c>
      <c r="B217" s="195" t="s">
        <v>694</v>
      </c>
      <c r="C217" s="195" t="s">
        <v>87</v>
      </c>
      <c r="D217" s="571">
        <f>D218</f>
        <v>4221347</v>
      </c>
      <c r="E217" s="571">
        <f>E218</f>
        <v>3962533</v>
      </c>
    </row>
    <row r="218" spans="1:5" ht="51">
      <c r="A218" s="7" t="s">
        <v>594</v>
      </c>
      <c r="B218" s="195" t="s">
        <v>312</v>
      </c>
      <c r="C218" s="195"/>
      <c r="D218" s="571">
        <f>D219</f>
        <v>4221347</v>
      </c>
      <c r="E218" s="571">
        <f>E219</f>
        <v>3962533</v>
      </c>
    </row>
    <row r="219" spans="1:5" ht="25.5">
      <c r="A219" s="198" t="s">
        <v>731</v>
      </c>
      <c r="B219" s="195" t="s">
        <v>695</v>
      </c>
      <c r="C219" s="195" t="s">
        <v>87</v>
      </c>
      <c r="D219" s="571">
        <f>SUM(D220:D222)</f>
        <v>4221347</v>
      </c>
      <c r="E219" s="571">
        <f>SUM(E220:E222)</f>
        <v>3962533</v>
      </c>
    </row>
    <row r="220" spans="1:5" ht="63.75">
      <c r="A220" s="5" t="s">
        <v>735</v>
      </c>
      <c r="B220" s="195" t="s">
        <v>695</v>
      </c>
      <c r="C220" s="195">
        <v>100</v>
      </c>
      <c r="D220" s="488">
        <v>4151448</v>
      </c>
      <c r="E220" s="488">
        <v>3896920</v>
      </c>
    </row>
    <row r="221" spans="1:5" ht="25.5">
      <c r="A221" s="5" t="s">
        <v>228</v>
      </c>
      <c r="B221" s="195" t="s">
        <v>695</v>
      </c>
      <c r="C221" s="195" t="s">
        <v>74</v>
      </c>
      <c r="D221" s="488">
        <v>69899</v>
      </c>
      <c r="E221" s="488">
        <v>65613</v>
      </c>
    </row>
    <row r="222" spans="1:5" ht="12.75" hidden="1">
      <c r="A222" s="193" t="s">
        <v>77</v>
      </c>
      <c r="B222" s="191" t="s">
        <v>695</v>
      </c>
      <c r="C222" s="191">
        <v>800</v>
      </c>
      <c r="D222" s="574"/>
      <c r="E222" s="574"/>
    </row>
    <row r="223" spans="1:5" ht="38.25">
      <c r="A223" s="204" t="s">
        <v>48</v>
      </c>
      <c r="B223" s="202" t="s">
        <v>630</v>
      </c>
      <c r="C223" s="468"/>
      <c r="D223" s="584">
        <f aca="true" t="shared" si="7" ref="D223:E225">D224</f>
        <v>55000</v>
      </c>
      <c r="E223" s="584">
        <f t="shared" si="7"/>
        <v>18774</v>
      </c>
    </row>
    <row r="224" spans="1:5" ht="24">
      <c r="A224" s="438" t="s">
        <v>633</v>
      </c>
      <c r="B224" s="196" t="s">
        <v>632</v>
      </c>
      <c r="C224" s="464"/>
      <c r="D224" s="571">
        <f t="shared" si="7"/>
        <v>55000</v>
      </c>
      <c r="E224" s="571">
        <f t="shared" si="7"/>
        <v>18774</v>
      </c>
    </row>
    <row r="225" spans="1:5" ht="38.25">
      <c r="A225" s="439" t="s">
        <v>631</v>
      </c>
      <c r="B225" s="196" t="s">
        <v>98</v>
      </c>
      <c r="C225" s="464"/>
      <c r="D225" s="571">
        <f t="shared" si="7"/>
        <v>55000</v>
      </c>
      <c r="E225" s="571">
        <f t="shared" si="7"/>
        <v>18774</v>
      </c>
    </row>
    <row r="226" spans="1:5" ht="12.75">
      <c r="A226" s="469" t="s">
        <v>77</v>
      </c>
      <c r="B226" s="192" t="s">
        <v>98</v>
      </c>
      <c r="C226" s="470">
        <v>800</v>
      </c>
      <c r="D226" s="574">
        <f>20000+35000</f>
        <v>55000</v>
      </c>
      <c r="E226" s="574">
        <v>18774</v>
      </c>
    </row>
    <row r="227" spans="1:5" ht="38.25">
      <c r="A227" s="204" t="s">
        <v>702</v>
      </c>
      <c r="B227" s="257" t="s">
        <v>21</v>
      </c>
      <c r="C227" s="172" t="s">
        <v>87</v>
      </c>
      <c r="D227" s="570">
        <f>D228+D232</f>
        <v>428121</v>
      </c>
      <c r="E227" s="570">
        <f>E228+E232</f>
        <v>422394</v>
      </c>
    </row>
    <row r="228" spans="1:5" ht="63.75">
      <c r="A228" s="4" t="s">
        <v>584</v>
      </c>
      <c r="B228" s="196" t="s">
        <v>22</v>
      </c>
      <c r="C228" s="195"/>
      <c r="D228" s="571">
        <f aca="true" t="shared" si="8" ref="D228:E230">D229</f>
        <v>93421</v>
      </c>
      <c r="E228" s="571">
        <f t="shared" si="8"/>
        <v>87694</v>
      </c>
    </row>
    <row r="229" spans="1:5" ht="51">
      <c r="A229" s="8" t="s">
        <v>514</v>
      </c>
      <c r="B229" s="196" t="s">
        <v>23</v>
      </c>
      <c r="C229" s="195"/>
      <c r="D229" s="571">
        <f t="shared" si="8"/>
        <v>93421</v>
      </c>
      <c r="E229" s="571">
        <f t="shared" si="8"/>
        <v>87694</v>
      </c>
    </row>
    <row r="230" spans="1:5" ht="25.5">
      <c r="A230" s="5" t="s">
        <v>701</v>
      </c>
      <c r="B230" s="196" t="s">
        <v>24</v>
      </c>
      <c r="C230" s="195"/>
      <c r="D230" s="571">
        <f t="shared" si="8"/>
        <v>93421</v>
      </c>
      <c r="E230" s="571">
        <f t="shared" si="8"/>
        <v>87694</v>
      </c>
    </row>
    <row r="231" spans="1:5" ht="38.25">
      <c r="A231" s="5" t="s">
        <v>90</v>
      </c>
      <c r="B231" s="196" t="s">
        <v>24</v>
      </c>
      <c r="C231" s="195">
        <v>600</v>
      </c>
      <c r="D231" s="488">
        <v>93421</v>
      </c>
      <c r="E231" s="488">
        <v>87694</v>
      </c>
    </row>
    <row r="232" spans="1:5" ht="51">
      <c r="A232" s="4" t="s">
        <v>585</v>
      </c>
      <c r="B232" s="196" t="s">
        <v>26</v>
      </c>
      <c r="C232" s="195"/>
      <c r="D232" s="571">
        <f>D233</f>
        <v>334700</v>
      </c>
      <c r="E232" s="571">
        <f>E233</f>
        <v>334700</v>
      </c>
    </row>
    <row r="233" spans="1:5" ht="51">
      <c r="A233" s="7" t="s">
        <v>453</v>
      </c>
      <c r="B233" s="196" t="s">
        <v>27</v>
      </c>
      <c r="C233" s="195"/>
      <c r="D233" s="571">
        <f>D234</f>
        <v>334700</v>
      </c>
      <c r="E233" s="571">
        <f>E234</f>
        <v>334700</v>
      </c>
    </row>
    <row r="234" spans="1:5" ht="25.5">
      <c r="A234" s="198" t="s">
        <v>470</v>
      </c>
      <c r="B234" s="196" t="s">
        <v>28</v>
      </c>
      <c r="C234" s="209" t="s">
        <v>87</v>
      </c>
      <c r="D234" s="571">
        <f>SUM(D235:D236)</f>
        <v>334700</v>
      </c>
      <c r="E234" s="571">
        <f>SUM(E235:E236)</f>
        <v>334700</v>
      </c>
    </row>
    <row r="235" spans="1:5" ht="63.75">
      <c r="A235" s="7" t="s">
        <v>735</v>
      </c>
      <c r="B235" s="196" t="s">
        <v>28</v>
      </c>
      <c r="C235" s="195">
        <v>100</v>
      </c>
      <c r="D235" s="488">
        <v>331700</v>
      </c>
      <c r="E235" s="488">
        <v>331700</v>
      </c>
    </row>
    <row r="236" spans="1:5" ht="25.5">
      <c r="A236" s="7" t="s">
        <v>228</v>
      </c>
      <c r="B236" s="196" t="s">
        <v>28</v>
      </c>
      <c r="C236" s="195">
        <v>200</v>
      </c>
      <c r="D236" s="488">
        <v>3000</v>
      </c>
      <c r="E236" s="488">
        <v>3000</v>
      </c>
    </row>
    <row r="237" spans="1:5" ht="51">
      <c r="A237" s="204" t="s">
        <v>477</v>
      </c>
      <c r="B237" s="257" t="s">
        <v>638</v>
      </c>
      <c r="C237" s="172"/>
      <c r="D237" s="570">
        <f aca="true" t="shared" si="9" ref="D237:E239">D238</f>
        <v>5528887</v>
      </c>
      <c r="E237" s="570">
        <f t="shared" si="9"/>
        <v>6084188</v>
      </c>
    </row>
    <row r="238" spans="1:5" ht="25.5">
      <c r="A238" s="449" t="s">
        <v>709</v>
      </c>
      <c r="B238" s="196" t="s">
        <v>336</v>
      </c>
      <c r="C238" s="195"/>
      <c r="D238" s="571">
        <f t="shared" si="9"/>
        <v>5528887</v>
      </c>
      <c r="E238" s="571">
        <f t="shared" si="9"/>
        <v>6084188</v>
      </c>
    </row>
    <row r="239" spans="1:5" ht="25.5">
      <c r="A239" s="450" t="s">
        <v>338</v>
      </c>
      <c r="B239" s="196" t="s">
        <v>337</v>
      </c>
      <c r="C239" s="195"/>
      <c r="D239" s="571">
        <f t="shared" si="9"/>
        <v>5528887</v>
      </c>
      <c r="E239" s="571">
        <f t="shared" si="9"/>
        <v>6084188</v>
      </c>
    </row>
    <row r="240" spans="1:5" ht="25.5">
      <c r="A240" s="193" t="s">
        <v>228</v>
      </c>
      <c r="B240" s="192" t="s">
        <v>337</v>
      </c>
      <c r="C240" s="191">
        <v>200</v>
      </c>
      <c r="D240" s="574">
        <f>500000+5028887</f>
        <v>5528887</v>
      </c>
      <c r="E240" s="574">
        <f>500000+5584188</f>
        <v>6084188</v>
      </c>
    </row>
    <row r="241" spans="1:5" ht="51">
      <c r="A241" s="323" t="s">
        <v>713</v>
      </c>
      <c r="B241" s="172" t="s">
        <v>111</v>
      </c>
      <c r="C241" s="172"/>
      <c r="D241" s="576">
        <f aca="true" t="shared" si="10" ref="D241:E244">D242</f>
        <v>30000</v>
      </c>
      <c r="E241" s="576">
        <f t="shared" si="10"/>
        <v>28161</v>
      </c>
    </row>
    <row r="242" spans="1:5" ht="66" customHeight="1">
      <c r="A242" s="84" t="s">
        <v>714</v>
      </c>
      <c r="B242" s="195" t="s">
        <v>112</v>
      </c>
      <c r="C242" s="195"/>
      <c r="D242" s="571">
        <f t="shared" si="10"/>
        <v>30000</v>
      </c>
      <c r="E242" s="571">
        <f t="shared" si="10"/>
        <v>28161</v>
      </c>
    </row>
    <row r="243" spans="1:5" ht="38.25">
      <c r="A243" s="5" t="s">
        <v>113</v>
      </c>
      <c r="B243" s="195" t="s">
        <v>114</v>
      </c>
      <c r="C243" s="195"/>
      <c r="D243" s="571">
        <f t="shared" si="10"/>
        <v>30000</v>
      </c>
      <c r="E243" s="571">
        <f t="shared" si="10"/>
        <v>28161</v>
      </c>
    </row>
    <row r="244" spans="1:5" ht="38.25">
      <c r="A244" s="5" t="s">
        <v>116</v>
      </c>
      <c r="B244" s="195" t="s">
        <v>115</v>
      </c>
      <c r="C244" s="195"/>
      <c r="D244" s="571">
        <f t="shared" si="10"/>
        <v>30000</v>
      </c>
      <c r="E244" s="571">
        <f t="shared" si="10"/>
        <v>28161</v>
      </c>
    </row>
    <row r="245" spans="1:5" ht="25.5">
      <c r="A245" s="193" t="s">
        <v>228</v>
      </c>
      <c r="B245" s="191" t="s">
        <v>115</v>
      </c>
      <c r="C245" s="191">
        <v>200</v>
      </c>
      <c r="D245" s="574">
        <v>30000</v>
      </c>
      <c r="E245" s="574">
        <v>28161</v>
      </c>
    </row>
    <row r="246" spans="1:5" ht="25.5">
      <c r="A246" s="204" t="s">
        <v>583</v>
      </c>
      <c r="B246" s="172" t="s">
        <v>686</v>
      </c>
      <c r="C246" s="172" t="s">
        <v>87</v>
      </c>
      <c r="D246" s="570">
        <f aca="true" t="shared" si="11" ref="D246:E248">D247</f>
        <v>1366926</v>
      </c>
      <c r="E246" s="570">
        <f t="shared" si="11"/>
        <v>1283191</v>
      </c>
    </row>
    <row r="247" spans="1:5" ht="12.75">
      <c r="A247" s="5" t="s">
        <v>357</v>
      </c>
      <c r="B247" s="195" t="s">
        <v>687</v>
      </c>
      <c r="C247" s="195" t="s">
        <v>87</v>
      </c>
      <c r="D247" s="571">
        <f t="shared" si="11"/>
        <v>1366926</v>
      </c>
      <c r="E247" s="571">
        <f t="shared" si="11"/>
        <v>1283191</v>
      </c>
    </row>
    <row r="248" spans="1:5" ht="25.5">
      <c r="A248" s="198" t="s">
        <v>731</v>
      </c>
      <c r="B248" s="195" t="s">
        <v>688</v>
      </c>
      <c r="C248" s="195" t="s">
        <v>87</v>
      </c>
      <c r="D248" s="571">
        <f t="shared" si="11"/>
        <v>1366926</v>
      </c>
      <c r="E248" s="571">
        <f t="shared" si="11"/>
        <v>1283191</v>
      </c>
    </row>
    <row r="249" spans="1:5" ht="63.75">
      <c r="A249" s="193" t="s">
        <v>735</v>
      </c>
      <c r="B249" s="191" t="s">
        <v>688</v>
      </c>
      <c r="C249" s="191" t="s">
        <v>592</v>
      </c>
      <c r="D249" s="574">
        <v>1366926</v>
      </c>
      <c r="E249" s="574">
        <v>1283191</v>
      </c>
    </row>
    <row r="250" spans="1:5" ht="25.5">
      <c r="A250" s="204" t="s">
        <v>469</v>
      </c>
      <c r="B250" s="172" t="s">
        <v>689</v>
      </c>
      <c r="C250" s="172" t="s">
        <v>87</v>
      </c>
      <c r="D250" s="570">
        <f>D251</f>
        <v>12906450</v>
      </c>
      <c r="E250" s="570">
        <f>E251</f>
        <v>12135595</v>
      </c>
    </row>
    <row r="251" spans="1:5" ht="25.5">
      <c r="A251" s="5" t="s">
        <v>473</v>
      </c>
      <c r="B251" s="195" t="s">
        <v>690</v>
      </c>
      <c r="C251" s="195" t="s">
        <v>87</v>
      </c>
      <c r="D251" s="571">
        <f>D252+D255</f>
        <v>12906450</v>
      </c>
      <c r="E251" s="571">
        <f>E252+E255</f>
        <v>12135595</v>
      </c>
    </row>
    <row r="252" spans="1:5" ht="38.25">
      <c r="A252" s="5" t="s">
        <v>293</v>
      </c>
      <c r="B252" s="195" t="s">
        <v>691</v>
      </c>
      <c r="C252" s="195"/>
      <c r="D252" s="571">
        <f>SUM(D253:D254)</f>
        <v>334700</v>
      </c>
      <c r="E252" s="571">
        <f>SUM(E253:E254)</f>
        <v>334700</v>
      </c>
    </row>
    <row r="253" spans="1:5" ht="63.75">
      <c r="A253" s="5" t="s">
        <v>735</v>
      </c>
      <c r="B253" s="195" t="s">
        <v>691</v>
      </c>
      <c r="C253" s="195">
        <v>100</v>
      </c>
      <c r="D253" s="488">
        <v>300582</v>
      </c>
      <c r="E253" s="488">
        <v>300582</v>
      </c>
    </row>
    <row r="254" spans="1:5" ht="25.5">
      <c r="A254" s="5" t="s">
        <v>228</v>
      </c>
      <c r="B254" s="195" t="s">
        <v>691</v>
      </c>
      <c r="C254" s="195">
        <v>200</v>
      </c>
      <c r="D254" s="488">
        <v>34118</v>
      </c>
      <c r="E254" s="488">
        <v>34118</v>
      </c>
    </row>
    <row r="255" spans="1:5" ht="25.5">
      <c r="A255" s="198" t="s">
        <v>731</v>
      </c>
      <c r="B255" s="195" t="s">
        <v>692</v>
      </c>
      <c r="C255" s="195" t="s">
        <v>87</v>
      </c>
      <c r="D255" s="571">
        <f>SUM(D256:D258)</f>
        <v>12571750</v>
      </c>
      <c r="E255" s="571">
        <f>SUM(E256:E258)</f>
        <v>11800895</v>
      </c>
    </row>
    <row r="256" spans="1:5" ht="63.75">
      <c r="A256" s="5" t="s">
        <v>735</v>
      </c>
      <c r="B256" s="195" t="s">
        <v>692</v>
      </c>
      <c r="C256" s="195">
        <v>100</v>
      </c>
      <c r="D256" s="488">
        <v>11857799</v>
      </c>
      <c r="E256" s="488">
        <v>11130717</v>
      </c>
    </row>
    <row r="257" spans="1:5" ht="25.5">
      <c r="A257" s="5" t="s">
        <v>228</v>
      </c>
      <c r="B257" s="195" t="s">
        <v>692</v>
      </c>
      <c r="C257" s="195">
        <v>200</v>
      </c>
      <c r="D257" s="488">
        <v>590765</v>
      </c>
      <c r="E257" s="488">
        <v>554545</v>
      </c>
    </row>
    <row r="258" spans="1:5" ht="12.75">
      <c r="A258" s="193" t="s">
        <v>77</v>
      </c>
      <c r="B258" s="191" t="s">
        <v>692</v>
      </c>
      <c r="C258" s="191">
        <v>800</v>
      </c>
      <c r="D258" s="574">
        <v>123186</v>
      </c>
      <c r="E258" s="574">
        <v>115633</v>
      </c>
    </row>
    <row r="259" spans="1:5" ht="38.25">
      <c r="A259" s="204" t="s">
        <v>169</v>
      </c>
      <c r="B259" s="257" t="s">
        <v>696</v>
      </c>
      <c r="C259" s="172" t="s">
        <v>87</v>
      </c>
      <c r="D259" s="570">
        <f>D260+D263</f>
        <v>1025105</v>
      </c>
      <c r="E259" s="570">
        <f>E260+E263</f>
        <v>962255</v>
      </c>
    </row>
    <row r="260" spans="1:5" ht="25.5">
      <c r="A260" s="4" t="s">
        <v>170</v>
      </c>
      <c r="B260" s="199" t="s">
        <v>697</v>
      </c>
      <c r="C260" s="195" t="s">
        <v>87</v>
      </c>
      <c r="D260" s="571">
        <f>D261</f>
        <v>664065</v>
      </c>
      <c r="E260" s="571">
        <f>E261</f>
        <v>623557</v>
      </c>
    </row>
    <row r="261" spans="1:5" ht="25.5">
      <c r="A261" s="198" t="s">
        <v>731</v>
      </c>
      <c r="B261" s="196" t="s">
        <v>698</v>
      </c>
      <c r="C261" s="195"/>
      <c r="D261" s="571">
        <f>SUM(D262:D262)</f>
        <v>664065</v>
      </c>
      <c r="E261" s="571">
        <f>SUM(E262:E262)</f>
        <v>623557</v>
      </c>
    </row>
    <row r="262" spans="1:5" ht="63.75">
      <c r="A262" s="5" t="s">
        <v>735</v>
      </c>
      <c r="B262" s="196" t="s">
        <v>698</v>
      </c>
      <c r="C262" s="195">
        <v>100</v>
      </c>
      <c r="D262" s="571">
        <v>664065</v>
      </c>
      <c r="E262" s="571">
        <v>623557</v>
      </c>
    </row>
    <row r="263" spans="1:5" ht="25.5">
      <c r="A263" s="5" t="s">
        <v>40</v>
      </c>
      <c r="B263" s="199" t="s">
        <v>39</v>
      </c>
      <c r="C263" s="195"/>
      <c r="D263" s="571">
        <f>D264</f>
        <v>361040</v>
      </c>
      <c r="E263" s="571">
        <f>E264</f>
        <v>338698</v>
      </c>
    </row>
    <row r="264" spans="1:5" ht="25.5">
      <c r="A264" s="198" t="s">
        <v>731</v>
      </c>
      <c r="B264" s="196" t="s">
        <v>38</v>
      </c>
      <c r="C264" s="195"/>
      <c r="D264" s="571">
        <f>SUM(D265:D266)</f>
        <v>361040</v>
      </c>
      <c r="E264" s="571">
        <f>SUM(E265:E266)</f>
        <v>338698</v>
      </c>
    </row>
    <row r="265" spans="1:5" ht="63.75">
      <c r="A265" s="5" t="s">
        <v>735</v>
      </c>
      <c r="B265" s="196" t="s">
        <v>38</v>
      </c>
      <c r="C265" s="195">
        <v>100</v>
      </c>
      <c r="D265" s="488">
        <v>361040</v>
      </c>
      <c r="E265" s="488">
        <v>338698</v>
      </c>
    </row>
    <row r="266" spans="1:5" ht="25.5" customHeight="1" hidden="1">
      <c r="A266" s="193" t="s">
        <v>228</v>
      </c>
      <c r="B266" s="192" t="s">
        <v>38</v>
      </c>
      <c r="C266" s="191">
        <v>200</v>
      </c>
      <c r="D266" s="574"/>
      <c r="E266" s="574"/>
    </row>
    <row r="267" spans="1:5" ht="38.25">
      <c r="A267" s="204" t="s">
        <v>520</v>
      </c>
      <c r="B267" s="257" t="s">
        <v>519</v>
      </c>
      <c r="C267" s="258" t="s">
        <v>87</v>
      </c>
      <c r="D267" s="570">
        <f>D268</f>
        <v>76100</v>
      </c>
      <c r="E267" s="570">
        <f>E268</f>
        <v>71434</v>
      </c>
    </row>
    <row r="268" spans="1:5" ht="12.75">
      <c r="A268" s="5" t="s">
        <v>518</v>
      </c>
      <c r="B268" s="196" t="s">
        <v>517</v>
      </c>
      <c r="C268" s="209"/>
      <c r="D268" s="571">
        <f>D269+D271</f>
        <v>76100</v>
      </c>
      <c r="E268" s="571">
        <f>E269+E271</f>
        <v>71434</v>
      </c>
    </row>
    <row r="269" spans="1:5" ht="25.5">
      <c r="A269" s="198" t="s">
        <v>36</v>
      </c>
      <c r="B269" s="196" t="s">
        <v>716</v>
      </c>
      <c r="C269" s="195"/>
      <c r="D269" s="571">
        <f>D270</f>
        <v>59900</v>
      </c>
      <c r="E269" s="571">
        <f>E270</f>
        <v>56227</v>
      </c>
    </row>
    <row r="270" spans="1:5" ht="12.75">
      <c r="A270" s="5" t="s">
        <v>77</v>
      </c>
      <c r="B270" s="196" t="s">
        <v>716</v>
      </c>
      <c r="C270" s="195">
        <v>800</v>
      </c>
      <c r="D270" s="571">
        <v>59900</v>
      </c>
      <c r="E270" s="571">
        <v>56227</v>
      </c>
    </row>
    <row r="271" spans="1:5" ht="25.5">
      <c r="A271" s="12" t="s">
        <v>516</v>
      </c>
      <c r="B271" s="196" t="s">
        <v>515</v>
      </c>
      <c r="C271" s="209" t="s">
        <v>87</v>
      </c>
      <c r="D271" s="571">
        <f>D272</f>
        <v>16200</v>
      </c>
      <c r="E271" s="571">
        <f>E272</f>
        <v>15207</v>
      </c>
    </row>
    <row r="272" spans="1:5" ht="25.5">
      <c r="A272" s="193" t="s">
        <v>91</v>
      </c>
      <c r="B272" s="192" t="s">
        <v>515</v>
      </c>
      <c r="C272" s="191">
        <v>200</v>
      </c>
      <c r="D272" s="574">
        <v>16200</v>
      </c>
      <c r="E272" s="574">
        <v>15207</v>
      </c>
    </row>
    <row r="273" spans="1:5" ht="25.5">
      <c r="A273" s="204" t="s">
        <v>626</v>
      </c>
      <c r="B273" s="257" t="s">
        <v>14</v>
      </c>
      <c r="C273" s="172"/>
      <c r="D273" s="570">
        <f>D274</f>
        <v>25157427</v>
      </c>
      <c r="E273" s="570">
        <f>E274</f>
        <v>22926219</v>
      </c>
    </row>
    <row r="274" spans="1:5" ht="25.5">
      <c r="A274" s="4" t="s">
        <v>636</v>
      </c>
      <c r="B274" s="199" t="s">
        <v>16</v>
      </c>
      <c r="C274" s="195"/>
      <c r="D274" s="571">
        <f>D275+D277+D280+D284+D292+D286+D288+D290</f>
        <v>25157427</v>
      </c>
      <c r="E274" s="571">
        <f>E275+E277+E280+E284+E292+E286+E288+E290</f>
        <v>22926219</v>
      </c>
    </row>
    <row r="275" spans="1:5" ht="38.25">
      <c r="A275" s="6" t="s">
        <v>768</v>
      </c>
      <c r="B275" s="196" t="s">
        <v>45</v>
      </c>
      <c r="C275" s="195"/>
      <c r="D275" s="571">
        <f>D276</f>
        <v>1084220</v>
      </c>
      <c r="E275" s="571">
        <f>E276</f>
        <v>1084220</v>
      </c>
    </row>
    <row r="276" spans="1:5" ht="25.5">
      <c r="A276" s="5" t="s">
        <v>91</v>
      </c>
      <c r="B276" s="196" t="s">
        <v>45</v>
      </c>
      <c r="C276" s="195">
        <v>200</v>
      </c>
      <c r="D276" s="488">
        <v>1084220</v>
      </c>
      <c r="E276" s="488">
        <v>1084220</v>
      </c>
    </row>
    <row r="277" spans="1:5" ht="63.75">
      <c r="A277" s="6" t="s">
        <v>767</v>
      </c>
      <c r="B277" s="196" t="s">
        <v>46</v>
      </c>
      <c r="C277" s="196"/>
      <c r="D277" s="571">
        <f>D278+D279</f>
        <v>167350</v>
      </c>
      <c r="E277" s="571">
        <f>E278+E279</f>
        <v>167350</v>
      </c>
    </row>
    <row r="278" spans="1:5" ht="63.75">
      <c r="A278" s="5" t="s">
        <v>735</v>
      </c>
      <c r="B278" s="196" t="s">
        <v>46</v>
      </c>
      <c r="C278" s="196">
        <v>100</v>
      </c>
      <c r="D278" s="488">
        <v>124992</v>
      </c>
      <c r="E278" s="488">
        <v>124992</v>
      </c>
    </row>
    <row r="279" spans="1:5" ht="25.5">
      <c r="A279" s="5" t="s">
        <v>91</v>
      </c>
      <c r="B279" s="196" t="s">
        <v>46</v>
      </c>
      <c r="C279" s="196">
        <v>200</v>
      </c>
      <c r="D279" s="488">
        <v>42358</v>
      </c>
      <c r="E279" s="488">
        <v>42358</v>
      </c>
    </row>
    <row r="280" spans="1:5" ht="25.5">
      <c r="A280" s="198" t="s">
        <v>494</v>
      </c>
      <c r="B280" s="196" t="s">
        <v>17</v>
      </c>
      <c r="C280" s="209" t="s">
        <v>87</v>
      </c>
      <c r="D280" s="571">
        <f>SUM(D281:D283)</f>
        <v>22740334</v>
      </c>
      <c r="E280" s="571">
        <f>SUM(E281:E283)</f>
        <v>21346108</v>
      </c>
    </row>
    <row r="281" spans="1:5" ht="63.75">
      <c r="A281" s="5" t="s">
        <v>735</v>
      </c>
      <c r="B281" s="196" t="s">
        <v>17</v>
      </c>
      <c r="C281" s="195" t="s">
        <v>592</v>
      </c>
      <c r="D281" s="488">
        <v>21759087</v>
      </c>
      <c r="E281" s="488">
        <v>20425022</v>
      </c>
    </row>
    <row r="282" spans="1:5" ht="25.5">
      <c r="A282" s="5" t="s">
        <v>228</v>
      </c>
      <c r="B282" s="196" t="s">
        <v>17</v>
      </c>
      <c r="C282" s="195" t="s">
        <v>74</v>
      </c>
      <c r="D282" s="488">
        <v>934400</v>
      </c>
      <c r="E282" s="488">
        <v>877111</v>
      </c>
    </row>
    <row r="283" spans="1:5" ht="12.75">
      <c r="A283" s="5" t="s">
        <v>77</v>
      </c>
      <c r="B283" s="196" t="s">
        <v>17</v>
      </c>
      <c r="C283" s="195" t="s">
        <v>78</v>
      </c>
      <c r="D283" s="488">
        <v>46847</v>
      </c>
      <c r="E283" s="488">
        <v>43975</v>
      </c>
    </row>
    <row r="284" spans="1:5" ht="25.5" hidden="1">
      <c r="A284" s="198" t="s">
        <v>36</v>
      </c>
      <c r="B284" s="196" t="s">
        <v>341</v>
      </c>
      <c r="C284" s="195"/>
      <c r="D284" s="488">
        <f>D285</f>
        <v>0</v>
      </c>
      <c r="E284" s="488">
        <f>E285</f>
        <v>0</v>
      </c>
    </row>
    <row r="285" spans="1:5" ht="12.75" hidden="1">
      <c r="A285" s="5" t="s">
        <v>77</v>
      </c>
      <c r="B285" s="196" t="s">
        <v>341</v>
      </c>
      <c r="C285" s="195">
        <v>800</v>
      </c>
      <c r="D285" s="488"/>
      <c r="E285" s="488"/>
    </row>
    <row r="286" spans="1:5" ht="36">
      <c r="A286" s="9" t="s">
        <v>96</v>
      </c>
      <c r="B286" s="196" t="s">
        <v>97</v>
      </c>
      <c r="C286" s="195"/>
      <c r="D286" s="571">
        <f>D287</f>
        <v>65000</v>
      </c>
      <c r="E286" s="571">
        <f>E287</f>
        <v>187738</v>
      </c>
    </row>
    <row r="287" spans="1:5" ht="24">
      <c r="A287" s="9" t="s">
        <v>228</v>
      </c>
      <c r="B287" s="196" t="s">
        <v>97</v>
      </c>
      <c r="C287" s="195">
        <v>200</v>
      </c>
      <c r="D287" s="571">
        <f>200000-100000-35000</f>
        <v>65000</v>
      </c>
      <c r="E287" s="571">
        <v>187738</v>
      </c>
    </row>
    <row r="288" spans="1:5" ht="38.25" hidden="1">
      <c r="A288" s="398" t="s">
        <v>905</v>
      </c>
      <c r="B288" s="196" t="s">
        <v>906</v>
      </c>
      <c r="C288" s="195"/>
      <c r="D288" s="571">
        <f>D289</f>
        <v>291157</v>
      </c>
      <c r="E288" s="571">
        <f>E289</f>
        <v>0</v>
      </c>
    </row>
    <row r="289" spans="1:5" ht="24" hidden="1">
      <c r="A289" s="336" t="s">
        <v>228</v>
      </c>
      <c r="B289" s="196" t="s">
        <v>906</v>
      </c>
      <c r="C289" s="195">
        <v>200</v>
      </c>
      <c r="D289" s="571">
        <v>291157</v>
      </c>
      <c r="E289" s="571"/>
    </row>
    <row r="290" spans="1:5" ht="38.25" hidden="1">
      <c r="A290" s="398" t="s">
        <v>905</v>
      </c>
      <c r="B290" s="196" t="s">
        <v>907</v>
      </c>
      <c r="C290" s="195"/>
      <c r="D290" s="571">
        <f>D291</f>
        <v>679366</v>
      </c>
      <c r="E290" s="571">
        <f>E291</f>
        <v>0</v>
      </c>
    </row>
    <row r="291" spans="1:5" ht="24" hidden="1">
      <c r="A291" s="336" t="s">
        <v>228</v>
      </c>
      <c r="B291" s="366" t="s">
        <v>907</v>
      </c>
      <c r="C291" s="128">
        <v>200</v>
      </c>
      <c r="D291" s="488">
        <v>679366</v>
      </c>
      <c r="E291" s="575"/>
    </row>
    <row r="292" spans="1:5" ht="25.5">
      <c r="A292" s="198" t="s">
        <v>464</v>
      </c>
      <c r="B292" s="196" t="s">
        <v>18</v>
      </c>
      <c r="C292" s="209" t="s">
        <v>87</v>
      </c>
      <c r="D292" s="571">
        <f>D293</f>
        <v>130000</v>
      </c>
      <c r="E292" s="571">
        <f>E293</f>
        <v>140803</v>
      </c>
    </row>
    <row r="293" spans="1:5" ht="25.5">
      <c r="A293" s="193" t="s">
        <v>228</v>
      </c>
      <c r="B293" s="192" t="s">
        <v>18</v>
      </c>
      <c r="C293" s="192">
        <v>200</v>
      </c>
      <c r="D293" s="574">
        <v>130000</v>
      </c>
      <c r="E293" s="574">
        <v>140803</v>
      </c>
    </row>
    <row r="294" spans="1:5" ht="25.5">
      <c r="A294" s="204" t="s">
        <v>174</v>
      </c>
      <c r="B294" s="172" t="s">
        <v>699</v>
      </c>
      <c r="C294" s="172" t="s">
        <v>87</v>
      </c>
      <c r="D294" s="570">
        <f aca="true" t="shared" si="12" ref="D294:E296">D295</f>
        <v>100000</v>
      </c>
      <c r="E294" s="570">
        <f t="shared" si="12"/>
        <v>93869</v>
      </c>
    </row>
    <row r="295" spans="1:5" ht="12.75">
      <c r="A295" s="5" t="s">
        <v>535</v>
      </c>
      <c r="B295" s="195" t="s">
        <v>700</v>
      </c>
      <c r="C295" s="195" t="s">
        <v>87</v>
      </c>
      <c r="D295" s="571">
        <f t="shared" si="12"/>
        <v>100000</v>
      </c>
      <c r="E295" s="571">
        <f t="shared" si="12"/>
        <v>93869</v>
      </c>
    </row>
    <row r="296" spans="1:5" ht="12.75">
      <c r="A296" s="198" t="s">
        <v>261</v>
      </c>
      <c r="B296" s="195" t="s">
        <v>222</v>
      </c>
      <c r="C296" s="209" t="s">
        <v>87</v>
      </c>
      <c r="D296" s="571">
        <f t="shared" si="12"/>
        <v>100000</v>
      </c>
      <c r="E296" s="571">
        <f t="shared" si="12"/>
        <v>93869</v>
      </c>
    </row>
    <row r="297" spans="1:5" ht="12.75">
      <c r="A297" s="233" t="s">
        <v>77</v>
      </c>
      <c r="B297" s="312" t="s">
        <v>222</v>
      </c>
      <c r="C297" s="312" t="s">
        <v>78</v>
      </c>
      <c r="D297" s="577">
        <v>100000</v>
      </c>
      <c r="E297" s="577">
        <v>93869</v>
      </c>
    </row>
    <row r="298" spans="1:5" ht="12.75">
      <c r="A298" s="324" t="s">
        <v>764</v>
      </c>
      <c r="B298" s="324"/>
      <c r="C298" s="324"/>
      <c r="D298" s="592">
        <v>4301916</v>
      </c>
      <c r="E298" s="592">
        <f>9468328+353755</f>
        <v>9822083</v>
      </c>
    </row>
  </sheetData>
  <sheetProtection/>
  <mergeCells count="2">
    <mergeCell ref="A3:E3"/>
    <mergeCell ref="A5:E5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58.140625" style="0" customWidth="1"/>
    <col min="3" max="4" width="14.28125" style="0" customWidth="1"/>
  </cols>
  <sheetData>
    <row r="1" spans="2:4" ht="12.75">
      <c r="B1" s="2"/>
      <c r="D1" s="2" t="s">
        <v>34</v>
      </c>
    </row>
    <row r="2" spans="2:4" ht="12.75">
      <c r="B2" s="2"/>
      <c r="D2" s="3" t="s">
        <v>263</v>
      </c>
    </row>
    <row r="3" spans="3:4" ht="12.75">
      <c r="C3" s="14"/>
      <c r="D3" s="28" t="s">
        <v>1019</v>
      </c>
    </row>
    <row r="4" ht="12.75">
      <c r="A4" s="2"/>
    </row>
    <row r="5" spans="1:4" ht="25.5" customHeight="1">
      <c r="A5" s="15" t="s">
        <v>896</v>
      </c>
      <c r="B5" s="16"/>
      <c r="C5" s="16"/>
      <c r="D5" s="16"/>
    </row>
    <row r="6" ht="12.75">
      <c r="A6" s="17"/>
    </row>
    <row r="7" spans="1:3" ht="12.75" customHeight="1">
      <c r="A7" s="16" t="s">
        <v>368</v>
      </c>
      <c r="B7" s="16"/>
      <c r="C7" s="16"/>
    </row>
    <row r="8" spans="1:3" ht="12.75">
      <c r="A8" s="18"/>
      <c r="C8" s="3"/>
    </row>
    <row r="9" spans="1:4" ht="45">
      <c r="A9" s="19" t="s">
        <v>682</v>
      </c>
      <c r="B9" s="19" t="s">
        <v>683</v>
      </c>
      <c r="C9" s="19" t="s">
        <v>377</v>
      </c>
      <c r="D9" s="19" t="s">
        <v>684</v>
      </c>
    </row>
    <row r="10" spans="1:4" ht="12.75">
      <c r="A10" s="20" t="s">
        <v>369</v>
      </c>
      <c r="B10" s="20" t="s">
        <v>370</v>
      </c>
      <c r="C10" s="21"/>
      <c r="D10" s="21"/>
    </row>
    <row r="11" spans="1:4" ht="25.5">
      <c r="A11" s="22" t="s">
        <v>371</v>
      </c>
      <c r="B11" s="22" t="s">
        <v>685</v>
      </c>
      <c r="C11" s="23">
        <v>14786000</v>
      </c>
      <c r="D11" s="46" t="s">
        <v>972</v>
      </c>
    </row>
    <row r="12" spans="1:4" ht="12.75">
      <c r="A12" s="45" t="s">
        <v>372</v>
      </c>
      <c r="B12" s="45" t="s">
        <v>373</v>
      </c>
      <c r="C12" s="46"/>
      <c r="D12" s="46"/>
    </row>
    <row r="13" spans="1:4" ht="12.75">
      <c r="A13" s="24"/>
      <c r="B13" s="57" t="s">
        <v>374</v>
      </c>
      <c r="C13" s="25">
        <f>SUM(C10:C12)</f>
        <v>14786000</v>
      </c>
      <c r="D13" s="25"/>
    </row>
    <row r="16" spans="1:3" ht="12.75" customHeight="1">
      <c r="A16" s="16" t="s">
        <v>160</v>
      </c>
      <c r="B16" s="16"/>
      <c r="C16" s="16"/>
    </row>
    <row r="17" spans="1:3" ht="12.75">
      <c r="A17" s="18"/>
      <c r="C17" s="3"/>
    </row>
    <row r="18" spans="1:4" ht="45" customHeight="1">
      <c r="A18" s="19" t="s">
        <v>682</v>
      </c>
      <c r="B18" s="19" t="s">
        <v>683</v>
      </c>
      <c r="C18" s="498" t="s">
        <v>897</v>
      </c>
      <c r="D18" s="498"/>
    </row>
    <row r="19" spans="1:4" ht="12.75">
      <c r="A19" s="26" t="s">
        <v>369</v>
      </c>
      <c r="B19" s="26" t="s">
        <v>370</v>
      </c>
      <c r="C19" s="499"/>
      <c r="D19" s="499"/>
    </row>
    <row r="20" spans="1:4" ht="25.5">
      <c r="A20" s="22" t="s">
        <v>371</v>
      </c>
      <c r="B20" s="22" t="s">
        <v>685</v>
      </c>
      <c r="C20" s="500">
        <v>19353000</v>
      </c>
      <c r="D20" s="500"/>
    </row>
    <row r="21" spans="1:4" ht="12.75">
      <c r="A21" s="45" t="s">
        <v>372</v>
      </c>
      <c r="B21" s="45" t="s">
        <v>373</v>
      </c>
      <c r="C21" s="501"/>
      <c r="D21" s="501"/>
    </row>
    <row r="22" spans="1:4" ht="12.75">
      <c r="A22" s="24"/>
      <c r="B22" s="57" t="s">
        <v>374</v>
      </c>
      <c r="C22" s="502">
        <f>SUM(C19:C21)</f>
        <v>19353000</v>
      </c>
      <c r="D22" s="502"/>
    </row>
  </sheetData>
  <sheetProtection/>
  <mergeCells count="5">
    <mergeCell ref="C18:D18"/>
    <mergeCell ref="C19:D19"/>
    <mergeCell ref="C20:D20"/>
    <mergeCell ref="C21:D21"/>
    <mergeCell ref="C22:D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6" width="12.57421875" style="0" customWidth="1"/>
  </cols>
  <sheetData>
    <row r="1" spans="2:6" ht="12.75">
      <c r="B1" s="2"/>
      <c r="F1" s="2" t="s">
        <v>541</v>
      </c>
    </row>
    <row r="2" spans="2:6" ht="12.75">
      <c r="B2" s="2"/>
      <c r="F2" s="3" t="s">
        <v>263</v>
      </c>
    </row>
    <row r="3" spans="2:6" ht="12.75">
      <c r="B3" s="14"/>
      <c r="F3" s="28" t="s">
        <v>1016</v>
      </c>
    </row>
    <row r="4" ht="12.75">
      <c r="A4" s="2"/>
    </row>
    <row r="5" spans="1:6" ht="25.5">
      <c r="A5" s="15" t="s">
        <v>911</v>
      </c>
      <c r="B5" s="16"/>
      <c r="C5" s="16"/>
      <c r="D5" s="64"/>
      <c r="E5" s="64"/>
      <c r="F5" s="64"/>
    </row>
    <row r="6" ht="12.75">
      <c r="A6" s="17"/>
    </row>
    <row r="7" spans="1:3" ht="12.75">
      <c r="A7" s="16" t="s">
        <v>368</v>
      </c>
      <c r="B7" s="16"/>
      <c r="C7" s="16"/>
    </row>
    <row r="8" spans="1:6" ht="12.75">
      <c r="A8" s="18"/>
      <c r="C8" s="3"/>
      <c r="F8" s="3"/>
    </row>
    <row r="9" spans="1:6" ht="56.25">
      <c r="A9" s="19" t="s">
        <v>682</v>
      </c>
      <c r="B9" s="19" t="s">
        <v>683</v>
      </c>
      <c r="C9" s="19" t="s">
        <v>605</v>
      </c>
      <c r="D9" s="19" t="s">
        <v>684</v>
      </c>
      <c r="E9" s="19" t="s">
        <v>934</v>
      </c>
      <c r="F9" s="19" t="s">
        <v>684</v>
      </c>
    </row>
    <row r="10" spans="1:6" ht="12.75">
      <c r="A10" s="20" t="s">
        <v>369</v>
      </c>
      <c r="B10" s="20" t="s">
        <v>370</v>
      </c>
      <c r="C10" s="21"/>
      <c r="D10" s="21"/>
      <c r="E10" s="21"/>
      <c r="F10" s="21"/>
    </row>
    <row r="11" spans="1:6" ht="25.5">
      <c r="A11" s="22" t="s">
        <v>371</v>
      </c>
      <c r="B11" s="22" t="s">
        <v>104</v>
      </c>
      <c r="C11" s="23">
        <v>14643000</v>
      </c>
      <c r="D11" s="23" t="s">
        <v>973</v>
      </c>
      <c r="E11" s="23">
        <v>14786000</v>
      </c>
      <c r="F11" s="46" t="s">
        <v>974</v>
      </c>
    </row>
    <row r="12" spans="1:6" ht="12.75">
      <c r="A12" s="45" t="s">
        <v>372</v>
      </c>
      <c r="B12" s="45" t="s">
        <v>373</v>
      </c>
      <c r="C12" s="46"/>
      <c r="D12" s="46"/>
      <c r="E12" s="46"/>
      <c r="F12" s="46"/>
    </row>
    <row r="13" spans="1:6" ht="12.75">
      <c r="A13" s="24"/>
      <c r="B13" s="57" t="s">
        <v>374</v>
      </c>
      <c r="C13" s="25">
        <f>SUM(C10:C12)</f>
        <v>14643000</v>
      </c>
      <c r="D13" s="25">
        <f>SUM(D10:D12)</f>
        <v>0</v>
      </c>
      <c r="E13" s="25">
        <f>SUM(E10:E12)</f>
        <v>14786000</v>
      </c>
      <c r="F13" s="25">
        <f>SUM(F10:F12)</f>
        <v>0</v>
      </c>
    </row>
    <row r="16" spans="1:3" ht="12.75">
      <c r="A16" s="16" t="s">
        <v>160</v>
      </c>
      <c r="B16" s="16"/>
      <c r="C16" s="16"/>
    </row>
    <row r="17" spans="1:6" ht="12.75">
      <c r="A17" s="18"/>
      <c r="C17" s="3"/>
      <c r="D17" s="3"/>
      <c r="F17" s="3"/>
    </row>
    <row r="18" spans="1:6" ht="22.5">
      <c r="A18" s="19" t="s">
        <v>682</v>
      </c>
      <c r="B18" s="19" t="s">
        <v>683</v>
      </c>
      <c r="C18" s="507" t="s">
        <v>606</v>
      </c>
      <c r="D18" s="508"/>
      <c r="E18" s="507" t="s">
        <v>912</v>
      </c>
      <c r="F18" s="508"/>
    </row>
    <row r="19" spans="1:6" ht="12.75">
      <c r="A19" s="26" t="s">
        <v>369</v>
      </c>
      <c r="B19" s="26" t="s">
        <v>370</v>
      </c>
      <c r="C19" s="509"/>
      <c r="D19" s="510"/>
      <c r="E19" s="509"/>
      <c r="F19" s="510"/>
    </row>
    <row r="20" spans="1:6" ht="25.5">
      <c r="A20" s="22" t="s">
        <v>371</v>
      </c>
      <c r="B20" s="22" t="s">
        <v>104</v>
      </c>
      <c r="C20" s="511">
        <v>14643000</v>
      </c>
      <c r="D20" s="512"/>
      <c r="E20" s="511">
        <v>14786000</v>
      </c>
      <c r="F20" s="512"/>
    </row>
    <row r="21" spans="1:6" ht="12.75">
      <c r="A21" s="45" t="s">
        <v>372</v>
      </c>
      <c r="B21" s="45" t="s">
        <v>373</v>
      </c>
      <c r="C21" s="503"/>
      <c r="D21" s="504"/>
      <c r="E21" s="503"/>
      <c r="F21" s="504"/>
    </row>
    <row r="22" spans="1:6" ht="12.75">
      <c r="A22" s="24"/>
      <c r="B22" s="57" t="s">
        <v>374</v>
      </c>
      <c r="C22" s="505">
        <f>SUM(C19:C21)</f>
        <v>14643000</v>
      </c>
      <c r="D22" s="506"/>
      <c r="E22" s="505">
        <f>SUM(E19:E21)</f>
        <v>14786000</v>
      </c>
      <c r="F22" s="506"/>
    </row>
  </sheetData>
  <sheetProtection/>
  <mergeCells count="10"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9900"/>
  </sheetPr>
  <dimension ref="A1:H22"/>
  <sheetViews>
    <sheetView showGridLines="0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.140625" style="67" customWidth="1"/>
    <col min="2" max="2" width="14.57421875" style="67" customWidth="1"/>
    <col min="3" max="3" width="13.7109375" style="67" customWidth="1"/>
    <col min="4" max="4" width="14.7109375" style="67" customWidth="1"/>
    <col min="5" max="5" width="18.140625" style="67" customWidth="1"/>
    <col min="6" max="6" width="13.57421875" style="67" customWidth="1"/>
    <col min="7" max="16384" width="9.140625" style="67" customWidth="1"/>
  </cols>
  <sheetData>
    <row r="1" spans="2:7" ht="12.75">
      <c r="B1" s="68"/>
      <c r="C1" s="68"/>
      <c r="D1" s="68"/>
      <c r="E1" s="68"/>
      <c r="F1" s="68"/>
      <c r="G1" s="68" t="s">
        <v>33</v>
      </c>
    </row>
    <row r="2" spans="2:7" ht="12.75">
      <c r="B2" s="68"/>
      <c r="C2" s="68"/>
      <c r="D2" s="68"/>
      <c r="E2" s="68"/>
      <c r="F2" s="68"/>
      <c r="G2" s="3" t="s">
        <v>263</v>
      </c>
    </row>
    <row r="3" spans="2:7" ht="12.75">
      <c r="B3" s="68"/>
      <c r="C3" s="68"/>
      <c r="D3" s="68"/>
      <c r="E3" s="68"/>
      <c r="F3" s="68"/>
      <c r="G3" s="28" t="s">
        <v>940</v>
      </c>
    </row>
    <row r="4" spans="1:7" ht="12.75">
      <c r="A4" s="75"/>
      <c r="B4" s="71"/>
      <c r="C4" s="71"/>
      <c r="D4" s="71"/>
      <c r="E4" s="71"/>
      <c r="F4" s="71"/>
      <c r="G4" s="71"/>
    </row>
    <row r="5" spans="1:7" ht="12.75">
      <c r="A5" s="76" t="s">
        <v>898</v>
      </c>
      <c r="B5" s="69"/>
      <c r="C5" s="69"/>
      <c r="D5" s="69"/>
      <c r="E5" s="69"/>
      <c r="F5" s="69"/>
      <c r="G5" s="69"/>
    </row>
    <row r="6" spans="1:7" ht="12.75">
      <c r="A6" s="70"/>
      <c r="B6" s="71"/>
      <c r="C6" s="71"/>
      <c r="D6" s="71"/>
      <c r="E6" s="71"/>
      <c r="F6" s="71"/>
      <c r="G6" s="71"/>
    </row>
    <row r="7" spans="1:7" ht="12.75">
      <c r="A7" s="69" t="s">
        <v>914</v>
      </c>
      <c r="B7" s="69"/>
      <c r="C7" s="69"/>
      <c r="D7" s="69"/>
      <c r="E7" s="69"/>
      <c r="F7" s="69"/>
      <c r="G7" s="69"/>
    </row>
    <row r="8" spans="1:7" ht="12.75">
      <c r="A8" s="70"/>
      <c r="B8" s="71"/>
      <c r="C8" s="71"/>
      <c r="D8" s="71"/>
      <c r="E8" s="71"/>
      <c r="F8" s="71"/>
      <c r="G8" s="71"/>
    </row>
    <row r="9" spans="1:7" ht="45">
      <c r="A9" s="72"/>
      <c r="B9" s="72" t="s">
        <v>602</v>
      </c>
      <c r="C9" s="72" t="s">
        <v>603</v>
      </c>
      <c r="D9" s="72" t="s">
        <v>177</v>
      </c>
      <c r="E9" s="72" t="s">
        <v>178</v>
      </c>
      <c r="F9" s="72" t="s">
        <v>179</v>
      </c>
      <c r="G9" s="72" t="s">
        <v>180</v>
      </c>
    </row>
    <row r="10" spans="1:7" ht="12.75">
      <c r="A10" s="72" t="s">
        <v>72</v>
      </c>
      <c r="B10" s="72" t="s">
        <v>85</v>
      </c>
      <c r="C10" s="72" t="s">
        <v>73</v>
      </c>
      <c r="D10" s="72" t="s">
        <v>527</v>
      </c>
      <c r="E10" s="72" t="s">
        <v>528</v>
      </c>
      <c r="F10" s="72" t="s">
        <v>529</v>
      </c>
      <c r="G10" s="72" t="s">
        <v>181</v>
      </c>
    </row>
    <row r="11" spans="1:7" ht="12.75">
      <c r="A11" s="77"/>
      <c r="B11" s="78" t="s">
        <v>182</v>
      </c>
      <c r="C11" s="78" t="s">
        <v>182</v>
      </c>
      <c r="D11" s="78" t="s">
        <v>182</v>
      </c>
      <c r="E11" s="78" t="s">
        <v>182</v>
      </c>
      <c r="F11" s="78" t="s">
        <v>182</v>
      </c>
      <c r="G11" s="78" t="s">
        <v>182</v>
      </c>
    </row>
    <row r="12" spans="1:7" ht="12.75">
      <c r="A12" s="73"/>
      <c r="B12" s="73"/>
      <c r="C12" s="73"/>
      <c r="D12" s="73"/>
      <c r="E12" s="73"/>
      <c r="F12" s="73"/>
      <c r="G12" s="73"/>
    </row>
    <row r="13" spans="1:7" ht="12.75">
      <c r="A13" s="73"/>
      <c r="B13" s="73"/>
      <c r="C13" s="73"/>
      <c r="D13" s="73"/>
      <c r="E13" s="73"/>
      <c r="F13" s="73"/>
      <c r="G13" s="73"/>
    </row>
    <row r="14" spans="1:7" ht="12.75">
      <c r="A14" s="74"/>
      <c r="B14" s="74"/>
      <c r="C14" s="74"/>
      <c r="D14" s="74"/>
      <c r="E14" s="74"/>
      <c r="F14" s="74"/>
      <c r="G14" s="74"/>
    </row>
    <row r="15" spans="1:7" ht="12.75">
      <c r="A15" s="71"/>
      <c r="B15" s="71"/>
      <c r="C15" s="71"/>
      <c r="D15" s="71"/>
      <c r="E15" s="71"/>
      <c r="F15" s="71"/>
      <c r="G15" s="71"/>
    </row>
    <row r="16" spans="1:7" ht="12.75">
      <c r="A16" s="71"/>
      <c r="B16" s="71"/>
      <c r="C16" s="71"/>
      <c r="D16" s="71"/>
      <c r="E16" s="71"/>
      <c r="F16" s="71"/>
      <c r="G16" s="71"/>
    </row>
    <row r="17" spans="1:7" ht="25.5">
      <c r="A17" s="69" t="s">
        <v>899</v>
      </c>
      <c r="B17" s="69"/>
      <c r="C17" s="69"/>
      <c r="D17" s="69"/>
      <c r="E17" s="69"/>
      <c r="F17" s="69"/>
      <c r="G17" s="69"/>
    </row>
    <row r="18" spans="1:7" ht="12.75">
      <c r="A18" s="70"/>
      <c r="B18" s="71"/>
      <c r="C18" s="71"/>
      <c r="D18" s="71"/>
      <c r="E18" s="71"/>
      <c r="F18" s="71"/>
      <c r="G18" s="71"/>
    </row>
    <row r="19" spans="1:8" ht="27">
      <c r="A19" s="515" t="s">
        <v>183</v>
      </c>
      <c r="B19" s="515"/>
      <c r="C19" s="515"/>
      <c r="D19" s="515" t="s">
        <v>184</v>
      </c>
      <c r="E19" s="515"/>
      <c r="F19" s="515"/>
      <c r="G19" s="515"/>
      <c r="H19" s="79"/>
    </row>
    <row r="20" spans="1:8" ht="27">
      <c r="A20" s="517" t="s">
        <v>185</v>
      </c>
      <c r="B20" s="517"/>
      <c r="C20" s="517"/>
      <c r="D20" s="516" t="s">
        <v>182</v>
      </c>
      <c r="E20" s="516"/>
      <c r="F20" s="516"/>
      <c r="G20" s="516"/>
      <c r="H20" s="79"/>
    </row>
    <row r="21" spans="1:8" ht="27">
      <c r="A21" s="513" t="s">
        <v>186</v>
      </c>
      <c r="B21" s="513"/>
      <c r="C21" s="513"/>
      <c r="D21" s="514" t="s">
        <v>182</v>
      </c>
      <c r="E21" s="514"/>
      <c r="F21" s="514"/>
      <c r="G21" s="514"/>
      <c r="H21" s="79"/>
    </row>
    <row r="22" spans="1:7" ht="12.75">
      <c r="A22" s="71"/>
      <c r="B22" s="71"/>
      <c r="C22" s="71"/>
      <c r="D22" s="71"/>
      <c r="E22" s="71"/>
      <c r="F22" s="71"/>
      <c r="G22" s="71"/>
    </row>
  </sheetData>
  <sheetProtection/>
  <mergeCells count="6">
    <mergeCell ref="A21:C21"/>
    <mergeCell ref="D21:G21"/>
    <mergeCell ref="A19:C19"/>
    <mergeCell ref="D19:G19"/>
    <mergeCell ref="D20:G20"/>
    <mergeCell ref="A20:C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00"/>
  </sheetPr>
  <dimension ref="A1:G21"/>
  <sheetViews>
    <sheetView showGridLines="0" tabSelected="1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1" width="5.140625" style="67" customWidth="1"/>
    <col min="2" max="2" width="17.00390625" style="67" customWidth="1"/>
    <col min="3" max="4" width="14.7109375" style="67" customWidth="1"/>
    <col min="5" max="5" width="17.57421875" style="67" customWidth="1"/>
    <col min="6" max="6" width="13.57421875" style="67" customWidth="1"/>
    <col min="7" max="16384" width="9.140625" style="67" customWidth="1"/>
  </cols>
  <sheetData>
    <row r="1" spans="2:7" ht="12.75">
      <c r="B1" s="68"/>
      <c r="C1" s="68"/>
      <c r="D1" s="68"/>
      <c r="E1" s="68"/>
      <c r="F1" s="68"/>
      <c r="G1" s="68" t="s">
        <v>601</v>
      </c>
    </row>
    <row r="2" spans="2:7" ht="12.75">
      <c r="B2" s="68"/>
      <c r="C2" s="68"/>
      <c r="D2" s="68"/>
      <c r="E2" s="68"/>
      <c r="F2" s="68"/>
      <c r="G2" s="3" t="s">
        <v>263</v>
      </c>
    </row>
    <row r="3" spans="2:7" ht="12.75">
      <c r="B3" s="68"/>
      <c r="C3" s="68"/>
      <c r="D3" s="68"/>
      <c r="E3" s="68"/>
      <c r="F3" s="68"/>
      <c r="G3" s="28" t="s">
        <v>941</v>
      </c>
    </row>
    <row r="4" spans="1:7" ht="12.75">
      <c r="A4" s="75"/>
      <c r="B4" s="71"/>
      <c r="C4" s="71"/>
      <c r="D4" s="71"/>
      <c r="E4" s="71"/>
      <c r="F4" s="71"/>
      <c r="G4" s="71"/>
    </row>
    <row r="5" spans="1:7" ht="12.75">
      <c r="A5" s="76" t="s">
        <v>900</v>
      </c>
      <c r="B5" s="69"/>
      <c r="C5" s="69"/>
      <c r="D5" s="69"/>
      <c r="E5" s="69"/>
      <c r="F5" s="69"/>
      <c r="G5" s="69"/>
    </row>
    <row r="6" spans="1:7" ht="12.75">
      <c r="A6" s="70"/>
      <c r="B6" s="71"/>
      <c r="C6" s="71"/>
      <c r="D6" s="71"/>
      <c r="E6" s="71"/>
      <c r="F6" s="71"/>
      <c r="G6" s="71"/>
    </row>
    <row r="7" spans="1:7" ht="25.5">
      <c r="A7" s="69" t="s">
        <v>901</v>
      </c>
      <c r="B7" s="69"/>
      <c r="C7" s="69"/>
      <c r="D7" s="69"/>
      <c r="E7" s="69"/>
      <c r="F7" s="69"/>
      <c r="G7" s="69"/>
    </row>
    <row r="8" spans="1:7" ht="12.75">
      <c r="A8" s="70"/>
      <c r="B8" s="71"/>
      <c r="C8" s="71"/>
      <c r="D8" s="71"/>
      <c r="E8" s="71"/>
      <c r="F8" s="71"/>
      <c r="G8" s="71"/>
    </row>
    <row r="9" spans="1:7" ht="45">
      <c r="A9" s="72"/>
      <c r="B9" s="72" t="s">
        <v>602</v>
      </c>
      <c r="C9" s="72" t="s">
        <v>603</v>
      </c>
      <c r="D9" s="72" t="s">
        <v>177</v>
      </c>
      <c r="E9" s="72" t="s">
        <v>178</v>
      </c>
      <c r="F9" s="72" t="s">
        <v>179</v>
      </c>
      <c r="G9" s="72" t="s">
        <v>180</v>
      </c>
    </row>
    <row r="10" spans="1:7" ht="12.75">
      <c r="A10" s="72" t="s">
        <v>72</v>
      </c>
      <c r="B10" s="72" t="s">
        <v>85</v>
      </c>
      <c r="C10" s="72" t="s">
        <v>73</v>
      </c>
      <c r="D10" s="72" t="s">
        <v>527</v>
      </c>
      <c r="E10" s="72" t="s">
        <v>528</v>
      </c>
      <c r="F10" s="72" t="s">
        <v>529</v>
      </c>
      <c r="G10" s="72" t="s">
        <v>181</v>
      </c>
    </row>
    <row r="11" spans="1:7" ht="12.75">
      <c r="A11" s="77"/>
      <c r="B11" s="78" t="s">
        <v>182</v>
      </c>
      <c r="C11" s="78" t="s">
        <v>182</v>
      </c>
      <c r="D11" s="78" t="s">
        <v>182</v>
      </c>
      <c r="E11" s="78" t="s">
        <v>182</v>
      </c>
      <c r="F11" s="78" t="s">
        <v>182</v>
      </c>
      <c r="G11" s="78" t="s">
        <v>182</v>
      </c>
    </row>
    <row r="12" spans="1:7" ht="12.75">
      <c r="A12" s="73"/>
      <c r="B12" s="73"/>
      <c r="C12" s="73"/>
      <c r="D12" s="73"/>
      <c r="E12" s="73"/>
      <c r="F12" s="73"/>
      <c r="G12" s="73"/>
    </row>
    <row r="13" spans="1:7" ht="12.75">
      <c r="A13" s="73"/>
      <c r="B13" s="73"/>
      <c r="C13" s="73"/>
      <c r="D13" s="73"/>
      <c r="E13" s="73"/>
      <c r="F13" s="73"/>
      <c r="G13" s="73"/>
    </row>
    <row r="14" spans="1:7" ht="12.75">
      <c r="A14" s="74"/>
      <c r="B14" s="74"/>
      <c r="C14" s="74"/>
      <c r="D14" s="74"/>
      <c r="E14" s="74"/>
      <c r="F14" s="74"/>
      <c r="G14" s="74"/>
    </row>
    <row r="15" spans="1:7" ht="12.75">
      <c r="A15" s="71"/>
      <c r="B15" s="71"/>
      <c r="C15" s="71"/>
      <c r="D15" s="71"/>
      <c r="E15" s="71"/>
      <c r="F15" s="71"/>
      <c r="G15" s="71"/>
    </row>
    <row r="16" spans="1:7" ht="12.75">
      <c r="A16" s="71"/>
      <c r="B16" s="71"/>
      <c r="C16" s="71"/>
      <c r="D16" s="71"/>
      <c r="E16" s="71"/>
      <c r="F16" s="71"/>
      <c r="G16" s="71"/>
    </row>
    <row r="17" spans="1:7" ht="25.5">
      <c r="A17" s="69" t="s">
        <v>902</v>
      </c>
      <c r="B17" s="69"/>
      <c r="C17" s="69"/>
      <c r="D17" s="69"/>
      <c r="E17" s="69"/>
      <c r="F17" s="69"/>
      <c r="G17" s="69"/>
    </row>
    <row r="18" spans="1:7" ht="12.75">
      <c r="A18" s="70"/>
      <c r="B18" s="71"/>
      <c r="C18" s="71"/>
      <c r="D18" s="71"/>
      <c r="E18" s="71"/>
      <c r="F18" s="71"/>
      <c r="G18" s="71"/>
    </row>
    <row r="19" spans="1:7" ht="67.5">
      <c r="A19" s="515" t="s">
        <v>183</v>
      </c>
      <c r="B19" s="515"/>
      <c r="C19" s="515"/>
      <c r="D19" s="80" t="s">
        <v>604</v>
      </c>
      <c r="E19" s="81"/>
      <c r="F19" s="80" t="s">
        <v>903</v>
      </c>
      <c r="G19" s="81"/>
    </row>
    <row r="20" spans="1:7" ht="29.25" customHeight="1">
      <c r="A20" s="524" t="s">
        <v>185</v>
      </c>
      <c r="B20" s="525"/>
      <c r="C20" s="526"/>
      <c r="D20" s="527" t="s">
        <v>182</v>
      </c>
      <c r="E20" s="528"/>
      <c r="F20" s="527" t="s">
        <v>182</v>
      </c>
      <c r="G20" s="529"/>
    </row>
    <row r="21" spans="1:7" ht="29.25" customHeight="1">
      <c r="A21" s="518" t="s">
        <v>186</v>
      </c>
      <c r="B21" s="519"/>
      <c r="C21" s="520"/>
      <c r="D21" s="521" t="s">
        <v>182</v>
      </c>
      <c r="E21" s="522"/>
      <c r="F21" s="521" t="s">
        <v>182</v>
      </c>
      <c r="G21" s="523"/>
    </row>
  </sheetData>
  <sheetProtection/>
  <mergeCells count="7">
    <mergeCell ref="A21:C21"/>
    <mergeCell ref="D21:E21"/>
    <mergeCell ref="F21:G21"/>
    <mergeCell ref="A19:C19"/>
    <mergeCell ref="A20:C20"/>
    <mergeCell ref="D20:E20"/>
    <mergeCell ref="F20:G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23"/>
  <sheetViews>
    <sheetView showGridLines="0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22.140625" style="413" customWidth="1"/>
    <col min="2" max="2" width="50.8515625" style="413" customWidth="1"/>
    <col min="3" max="3" width="12.57421875" style="413" customWidth="1"/>
    <col min="4" max="4" width="14.421875" style="413" customWidth="1"/>
    <col min="5" max="16384" width="9.140625" style="413" customWidth="1"/>
  </cols>
  <sheetData>
    <row r="1" spans="2:4" ht="12.75">
      <c r="B1" s="530"/>
      <c r="D1" s="530" t="s">
        <v>734</v>
      </c>
    </row>
    <row r="2" spans="2:4" ht="12.75">
      <c r="B2" s="530"/>
      <c r="D2" s="3" t="s">
        <v>263</v>
      </c>
    </row>
    <row r="3" spans="2:4" ht="12.75">
      <c r="B3" s="18"/>
      <c r="C3" s="594" t="s">
        <v>1015</v>
      </c>
      <c r="D3" s="594"/>
    </row>
    <row r="4" spans="1:3" ht="12.75" customHeight="1">
      <c r="A4" s="491" t="s">
        <v>910</v>
      </c>
      <c r="B4" s="491"/>
      <c r="C4" s="491"/>
    </row>
    <row r="5" spans="1:4" ht="12.75">
      <c r="A5" s="414"/>
      <c r="C5" s="415"/>
      <c r="D5" s="415" t="s">
        <v>582</v>
      </c>
    </row>
    <row r="6" spans="1:4" ht="33.75">
      <c r="A6" s="416" t="s">
        <v>359</v>
      </c>
      <c r="B6" s="416" t="s">
        <v>289</v>
      </c>
      <c r="C6" s="416" t="s">
        <v>607</v>
      </c>
      <c r="D6" s="416" t="s">
        <v>904</v>
      </c>
    </row>
    <row r="7" spans="1:10" ht="12.75">
      <c r="A7" s="416">
        <v>1</v>
      </c>
      <c r="B7" s="416">
        <v>2</v>
      </c>
      <c r="C7" s="416">
        <v>3</v>
      </c>
      <c r="D7" s="416">
        <v>4</v>
      </c>
      <c r="J7" s="56"/>
    </row>
    <row r="8" spans="1:5" ht="25.5">
      <c r="A8" s="417" t="s">
        <v>552</v>
      </c>
      <c r="B8" s="418" t="s">
        <v>103</v>
      </c>
      <c r="C8" s="375">
        <f>C9+C14</f>
        <v>0</v>
      </c>
      <c r="D8" s="375">
        <f>D9+D14</f>
        <v>19224870.379999995</v>
      </c>
      <c r="E8" s="531"/>
    </row>
    <row r="9" spans="1:5" ht="25.5">
      <c r="A9" s="419" t="s">
        <v>105</v>
      </c>
      <c r="B9" s="420" t="s">
        <v>195</v>
      </c>
      <c r="C9" s="421">
        <f>C10+C12</f>
        <v>0</v>
      </c>
      <c r="D9" s="421">
        <f>D10+D12</f>
        <v>0</v>
      </c>
      <c r="E9" s="531"/>
    </row>
    <row r="10" spans="1:5" ht="38.25">
      <c r="A10" s="422" t="s">
        <v>164</v>
      </c>
      <c r="B10" s="423" t="s">
        <v>343</v>
      </c>
      <c r="C10" s="421">
        <f>C11</f>
        <v>14643000</v>
      </c>
      <c r="D10" s="421">
        <f>D11</f>
        <v>14786000</v>
      </c>
      <c r="E10" s="531"/>
    </row>
    <row r="11" spans="1:5" ht="38.25">
      <c r="A11" s="422" t="s">
        <v>165</v>
      </c>
      <c r="B11" s="423" t="s">
        <v>344</v>
      </c>
      <c r="C11" s="399">
        <v>14643000</v>
      </c>
      <c r="D11" s="399">
        <v>14786000</v>
      </c>
      <c r="E11" s="531"/>
    </row>
    <row r="12" spans="1:5" ht="38.25">
      <c r="A12" s="419" t="s">
        <v>166</v>
      </c>
      <c r="B12" s="420" t="s">
        <v>193</v>
      </c>
      <c r="C12" s="400">
        <f>C13</f>
        <v>-14643000</v>
      </c>
      <c r="D12" s="400">
        <f>D13</f>
        <v>-14786000</v>
      </c>
      <c r="E12" s="531"/>
    </row>
    <row r="13" spans="1:5" ht="38.25">
      <c r="A13" s="419" t="s">
        <v>167</v>
      </c>
      <c r="B13" s="420" t="s">
        <v>194</v>
      </c>
      <c r="C13" s="401">
        <v>-14643000</v>
      </c>
      <c r="D13" s="401">
        <v>-14786000</v>
      </c>
      <c r="E13" s="531"/>
    </row>
    <row r="14" spans="1:5" ht="25.5">
      <c r="A14" s="419" t="s">
        <v>251</v>
      </c>
      <c r="B14" s="424" t="s">
        <v>579</v>
      </c>
      <c r="C14" s="402">
        <f>C15+C19</f>
        <v>0</v>
      </c>
      <c r="D14" s="384">
        <f>D15+D19</f>
        <v>19224870.379999995</v>
      </c>
      <c r="E14" s="531"/>
    </row>
    <row r="15" spans="1:5" ht="12.75">
      <c r="A15" s="419" t="s">
        <v>252</v>
      </c>
      <c r="B15" s="424" t="s">
        <v>253</v>
      </c>
      <c r="C15" s="402">
        <f aca="true" t="shared" si="0" ref="C15:D17">C16</f>
        <v>-497999646</v>
      </c>
      <c r="D15" s="384">
        <f t="shared" si="0"/>
        <v>-439602988</v>
      </c>
      <c r="E15" s="531"/>
    </row>
    <row r="16" spans="1:5" ht="12.75">
      <c r="A16" s="419" t="s">
        <v>254</v>
      </c>
      <c r="B16" s="424" t="s">
        <v>255</v>
      </c>
      <c r="C16" s="402">
        <f t="shared" si="0"/>
        <v>-497999646</v>
      </c>
      <c r="D16" s="384">
        <f t="shared" si="0"/>
        <v>-439602988</v>
      </c>
      <c r="E16" s="531"/>
    </row>
    <row r="17" spans="1:5" ht="25.5">
      <c r="A17" s="419" t="s">
        <v>580</v>
      </c>
      <c r="B17" s="424" t="s">
        <v>256</v>
      </c>
      <c r="C17" s="402">
        <f t="shared" si="0"/>
        <v>-497999646</v>
      </c>
      <c r="D17" s="384">
        <f t="shared" si="0"/>
        <v>-439602988</v>
      </c>
      <c r="E17" s="531"/>
    </row>
    <row r="18" spans="1:5" ht="25.5">
      <c r="A18" s="419" t="s">
        <v>257</v>
      </c>
      <c r="B18" s="424" t="s">
        <v>258</v>
      </c>
      <c r="C18" s="403">
        <v>-497999646</v>
      </c>
      <c r="D18" s="532">
        <f>-424816988+(-14786000)</f>
        <v>-439602988</v>
      </c>
      <c r="E18" s="531"/>
    </row>
    <row r="19" spans="1:5" ht="12.75">
      <c r="A19" s="419" t="s">
        <v>646</v>
      </c>
      <c r="B19" s="424" t="s">
        <v>581</v>
      </c>
      <c r="C19" s="402">
        <f aca="true" t="shared" si="1" ref="C19:D21">C20</f>
        <v>497999646</v>
      </c>
      <c r="D19" s="384">
        <f t="shared" si="1"/>
        <v>458827858.38</v>
      </c>
      <c r="E19" s="531"/>
    </row>
    <row r="20" spans="1:5" ht="12.75">
      <c r="A20" s="419" t="s">
        <v>647</v>
      </c>
      <c r="B20" s="424" t="s">
        <v>648</v>
      </c>
      <c r="C20" s="402">
        <f t="shared" si="1"/>
        <v>497999646</v>
      </c>
      <c r="D20" s="384">
        <f t="shared" si="1"/>
        <v>458827858.38</v>
      </c>
      <c r="E20" s="531"/>
    </row>
    <row r="21" spans="1:5" ht="25.5">
      <c r="A21" s="419" t="s">
        <v>649</v>
      </c>
      <c r="B21" s="424" t="s">
        <v>650</v>
      </c>
      <c r="C21" s="402">
        <f t="shared" si="1"/>
        <v>497999646</v>
      </c>
      <c r="D21" s="384">
        <f t="shared" si="1"/>
        <v>458827858.38</v>
      </c>
      <c r="E21" s="531"/>
    </row>
    <row r="22" spans="1:5" ht="25.5">
      <c r="A22" s="425" t="s">
        <v>651</v>
      </c>
      <c r="B22" s="426" t="s">
        <v>652</v>
      </c>
      <c r="C22" s="404">
        <v>497999646</v>
      </c>
      <c r="D22" s="387">
        <f>444041858.38+14786000</f>
        <v>458827858.38</v>
      </c>
      <c r="E22" s="531"/>
    </row>
    <row r="23" ht="12.75">
      <c r="C23" s="533"/>
    </row>
  </sheetData>
  <sheetProtection/>
  <mergeCells count="1">
    <mergeCell ref="A4:C4"/>
  </mergeCells>
  <printOptions/>
  <pageMargins left="0.7874015748031497" right="0.3937007874015748" top="0.5905511811023623" bottom="0.3937007874015748" header="0.5118110236220472" footer="0.31496062992125984"/>
  <pageSetup fitToHeight="0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199"/>
  <sheetViews>
    <sheetView showGridLines="0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21.28125" style="1" customWidth="1"/>
    <col min="2" max="2" width="55.57421875" style="1" customWidth="1"/>
    <col min="3" max="3" width="15.140625" style="555" customWidth="1"/>
    <col min="4" max="4" width="8.57421875" style="1" bestFit="1" customWidth="1"/>
    <col min="5" max="16384" width="9.140625" style="1" customWidth="1"/>
  </cols>
  <sheetData>
    <row r="1" spans="1:3" ht="12.75">
      <c r="A1" s="492" t="s">
        <v>725</v>
      </c>
      <c r="B1" s="492"/>
      <c r="C1" s="492"/>
    </row>
    <row r="2" spans="1:3" ht="12.75">
      <c r="A2" s="492" t="s">
        <v>263</v>
      </c>
      <c r="B2" s="492"/>
      <c r="C2" s="492"/>
    </row>
    <row r="3" spans="1:3" ht="12.75">
      <c r="A3" s="490" t="s">
        <v>1016</v>
      </c>
      <c r="B3" s="490"/>
      <c r="C3" s="490"/>
    </row>
    <row r="4" spans="1:3" ht="12.75">
      <c r="A4" s="493" t="s">
        <v>876</v>
      </c>
      <c r="B4" s="493"/>
      <c r="C4" s="493"/>
    </row>
    <row r="5" spans="1:3" ht="12.75">
      <c r="A5" s="36"/>
      <c r="B5" s="344"/>
      <c r="C5" s="534" t="s">
        <v>726</v>
      </c>
    </row>
    <row r="6" spans="1:3" ht="33.75">
      <c r="A6" s="277" t="s">
        <v>727</v>
      </c>
      <c r="B6" s="278" t="s">
        <v>71</v>
      </c>
      <c r="C6" s="535" t="s">
        <v>539</v>
      </c>
    </row>
    <row r="7" spans="1:3" ht="12.75">
      <c r="A7" s="279" t="s">
        <v>72</v>
      </c>
      <c r="B7" s="280">
        <v>2</v>
      </c>
      <c r="C7" s="536" t="s">
        <v>73</v>
      </c>
    </row>
    <row r="8" spans="1:4" ht="12.75">
      <c r="A8" s="281"/>
      <c r="B8" s="282" t="s">
        <v>540</v>
      </c>
      <c r="C8" s="537">
        <f>C9+C120</f>
        <v>728378708.0899999</v>
      </c>
      <c r="D8" s="346"/>
    </row>
    <row r="9" spans="1:4" ht="12.75">
      <c r="A9" s="283" t="s">
        <v>728</v>
      </c>
      <c r="B9" s="284" t="s">
        <v>729</v>
      </c>
      <c r="C9" s="538">
        <f>C10+C26+C38+C46+C55+C66+C72+C79+C86+C16+C117+C51</f>
        <v>133359654</v>
      </c>
      <c r="D9" s="346"/>
    </row>
    <row r="10" spans="1:3" ht="12.75">
      <c r="A10" s="285" t="s">
        <v>730</v>
      </c>
      <c r="B10" s="286" t="s">
        <v>736</v>
      </c>
      <c r="C10" s="539">
        <f>C11</f>
        <v>90410226</v>
      </c>
    </row>
    <row r="11" spans="1:3" ht="12.75">
      <c r="A11" s="285" t="s">
        <v>737</v>
      </c>
      <c r="B11" s="286" t="s">
        <v>738</v>
      </c>
      <c r="C11" s="539">
        <f>SUM(C12:C15)</f>
        <v>90410226</v>
      </c>
    </row>
    <row r="12" spans="1:4" ht="63.75">
      <c r="A12" s="287" t="s">
        <v>739</v>
      </c>
      <c r="B12" s="274" t="s">
        <v>756</v>
      </c>
      <c r="C12" s="540">
        <f>83622219+1440270</f>
        <v>85062489</v>
      </c>
      <c r="D12" s="427"/>
    </row>
    <row r="13" spans="1:4" ht="91.5" customHeight="1">
      <c r="A13" s="287" t="s">
        <v>740</v>
      </c>
      <c r="B13" s="274" t="s">
        <v>769</v>
      </c>
      <c r="C13" s="540">
        <v>351435</v>
      </c>
      <c r="D13" s="427"/>
    </row>
    <row r="14" spans="1:4" ht="38.25">
      <c r="A14" s="287" t="s">
        <v>741</v>
      </c>
      <c r="B14" s="288" t="s">
        <v>742</v>
      </c>
      <c r="C14" s="540">
        <v>805967</v>
      </c>
      <c r="D14" s="427"/>
    </row>
    <row r="15" spans="1:4" ht="89.25">
      <c r="A15" s="287" t="s">
        <v>818</v>
      </c>
      <c r="B15" s="288" t="s">
        <v>819</v>
      </c>
      <c r="C15" s="540">
        <v>4190335</v>
      </c>
      <c r="D15" s="427"/>
    </row>
    <row r="16" spans="1:3" ht="25.5">
      <c r="A16" s="285" t="s">
        <v>743</v>
      </c>
      <c r="B16" s="286" t="s">
        <v>489</v>
      </c>
      <c r="C16" s="539">
        <f>C17</f>
        <v>2924170</v>
      </c>
    </row>
    <row r="17" spans="1:4" ht="25.5">
      <c r="A17" s="287" t="s">
        <v>808</v>
      </c>
      <c r="B17" s="347" t="s">
        <v>807</v>
      </c>
      <c r="C17" s="540">
        <f>C18+C20+C22+C24</f>
        <v>2924170</v>
      </c>
      <c r="D17" s="348"/>
    </row>
    <row r="18" spans="1:3" ht="63.75">
      <c r="A18" s="287" t="s">
        <v>490</v>
      </c>
      <c r="B18" s="328" t="s">
        <v>806</v>
      </c>
      <c r="C18" s="540">
        <f>C19</f>
        <v>1322110</v>
      </c>
    </row>
    <row r="19" spans="1:3" ht="91.5" customHeight="1">
      <c r="A19" s="287" t="s">
        <v>342</v>
      </c>
      <c r="B19" s="328" t="s">
        <v>445</v>
      </c>
      <c r="C19" s="540">
        <v>1322110</v>
      </c>
    </row>
    <row r="20" spans="1:3" ht="76.5">
      <c r="A20" s="287" t="s">
        <v>491</v>
      </c>
      <c r="B20" s="349" t="s">
        <v>770</v>
      </c>
      <c r="C20" s="540">
        <f>C21</f>
        <v>7310</v>
      </c>
    </row>
    <row r="21" spans="1:3" ht="105.75" customHeight="1">
      <c r="A21" s="287" t="s">
        <v>402</v>
      </c>
      <c r="B21" s="350" t="s">
        <v>446</v>
      </c>
      <c r="C21" s="540">
        <v>7310</v>
      </c>
    </row>
    <row r="22" spans="1:3" ht="63.75">
      <c r="A22" s="287" t="s">
        <v>444</v>
      </c>
      <c r="B22" s="274" t="s">
        <v>805</v>
      </c>
      <c r="C22" s="540">
        <f>C23</f>
        <v>1760530</v>
      </c>
    </row>
    <row r="23" spans="1:3" ht="102">
      <c r="A23" s="287" t="s">
        <v>403</v>
      </c>
      <c r="B23" s="351" t="s">
        <v>447</v>
      </c>
      <c r="C23" s="540">
        <v>1760530</v>
      </c>
    </row>
    <row r="24" spans="1:3" ht="63.75">
      <c r="A24" s="287" t="s">
        <v>196</v>
      </c>
      <c r="B24" s="288" t="s">
        <v>197</v>
      </c>
      <c r="C24" s="540">
        <f>C25</f>
        <v>-165780</v>
      </c>
    </row>
    <row r="25" spans="1:3" ht="102">
      <c r="A25" s="287" t="s">
        <v>191</v>
      </c>
      <c r="B25" s="288" t="s">
        <v>448</v>
      </c>
      <c r="C25" s="540">
        <v>-165780</v>
      </c>
    </row>
    <row r="26" spans="1:3" ht="12.75">
      <c r="A26" s="285" t="s">
        <v>198</v>
      </c>
      <c r="B26" s="286" t="s">
        <v>199</v>
      </c>
      <c r="C26" s="539">
        <f>C27+C32+C34+C36</f>
        <v>8207384</v>
      </c>
    </row>
    <row r="27" spans="1:3" ht="25.5">
      <c r="A27" s="287" t="s">
        <v>200</v>
      </c>
      <c r="B27" s="288" t="s">
        <v>201</v>
      </c>
      <c r="C27" s="541">
        <f>C28+C30</f>
        <v>3610410</v>
      </c>
    </row>
    <row r="28" spans="1:3" ht="25.5">
      <c r="A28" s="287" t="s">
        <v>202</v>
      </c>
      <c r="B28" s="288" t="s">
        <v>203</v>
      </c>
      <c r="C28" s="541">
        <f>C29</f>
        <v>1154800</v>
      </c>
    </row>
    <row r="29" spans="1:3" ht="25.5">
      <c r="A29" s="287" t="s">
        <v>204</v>
      </c>
      <c r="B29" s="288" t="s">
        <v>203</v>
      </c>
      <c r="C29" s="540">
        <f>1153107+1693</f>
        <v>1154800</v>
      </c>
    </row>
    <row r="30" spans="1:3" ht="38.25">
      <c r="A30" s="287" t="s">
        <v>205</v>
      </c>
      <c r="B30" s="288" t="s">
        <v>236</v>
      </c>
      <c r="C30" s="541">
        <f>C31</f>
        <v>2455610</v>
      </c>
    </row>
    <row r="31" spans="1:3" ht="51">
      <c r="A31" s="287" t="s">
        <v>237</v>
      </c>
      <c r="B31" s="288" t="s">
        <v>238</v>
      </c>
      <c r="C31" s="540">
        <f>2316951+13400-1693+126952</f>
        <v>2455610</v>
      </c>
    </row>
    <row r="32" spans="1:3" ht="25.5">
      <c r="A32" s="287" t="s">
        <v>239</v>
      </c>
      <c r="B32" s="288" t="s">
        <v>404</v>
      </c>
      <c r="C32" s="541">
        <f>C33</f>
        <v>4589</v>
      </c>
    </row>
    <row r="33" spans="1:3" ht="25.5">
      <c r="A33" s="287" t="s">
        <v>405</v>
      </c>
      <c r="B33" s="288" t="s">
        <v>404</v>
      </c>
      <c r="C33" s="540">
        <v>4589</v>
      </c>
    </row>
    <row r="34" spans="1:3" ht="12.75">
      <c r="A34" s="287" t="s">
        <v>406</v>
      </c>
      <c r="B34" s="288" t="s">
        <v>407</v>
      </c>
      <c r="C34" s="541">
        <f>SUM(C35:C35)</f>
        <v>886385</v>
      </c>
    </row>
    <row r="35" spans="1:3" ht="12.75">
      <c r="A35" s="287" t="s">
        <v>617</v>
      </c>
      <c r="B35" s="288" t="s">
        <v>618</v>
      </c>
      <c r="C35" s="540">
        <v>886385</v>
      </c>
    </row>
    <row r="36" spans="1:3" ht="25.5">
      <c r="A36" s="287" t="s">
        <v>547</v>
      </c>
      <c r="B36" s="288" t="s">
        <v>548</v>
      </c>
      <c r="C36" s="540">
        <f>C37</f>
        <v>3706000</v>
      </c>
    </row>
    <row r="37" spans="1:3" ht="25.5" customHeight="1">
      <c r="A37" s="287" t="s">
        <v>549</v>
      </c>
      <c r="B37" s="288" t="s">
        <v>550</v>
      </c>
      <c r="C37" s="540">
        <v>3706000</v>
      </c>
    </row>
    <row r="38" spans="1:3" ht="12.75">
      <c r="A38" s="285" t="s">
        <v>619</v>
      </c>
      <c r="B38" s="286" t="s">
        <v>620</v>
      </c>
      <c r="C38" s="539">
        <f>C39+C41</f>
        <v>15122855</v>
      </c>
    </row>
    <row r="39" spans="1:3" ht="12.75">
      <c r="A39" s="287" t="s">
        <v>621</v>
      </c>
      <c r="B39" s="288" t="s">
        <v>622</v>
      </c>
      <c r="C39" s="541">
        <f>C40</f>
        <v>4584028</v>
      </c>
    </row>
    <row r="40" spans="1:3" ht="38.25">
      <c r="A40" s="287" t="s">
        <v>623</v>
      </c>
      <c r="B40" s="288" t="s">
        <v>415</v>
      </c>
      <c r="C40" s="540">
        <v>4584028</v>
      </c>
    </row>
    <row r="41" spans="1:3" ht="12.75">
      <c r="A41" s="287" t="s">
        <v>416</v>
      </c>
      <c r="B41" s="288" t="s">
        <v>417</v>
      </c>
      <c r="C41" s="542">
        <f>C42+C44</f>
        <v>10538827</v>
      </c>
    </row>
    <row r="42" spans="1:3" ht="12.75">
      <c r="A42" s="287" t="s">
        <v>418</v>
      </c>
      <c r="B42" s="288" t="s">
        <v>419</v>
      </c>
      <c r="C42" s="541">
        <f>C43</f>
        <v>7259355</v>
      </c>
    </row>
    <row r="43" spans="1:3" ht="25.5">
      <c r="A43" s="287" t="s">
        <v>420</v>
      </c>
      <c r="B43" s="288" t="s">
        <v>421</v>
      </c>
      <c r="C43" s="540">
        <v>7259355</v>
      </c>
    </row>
    <row r="44" spans="1:3" ht="12.75">
      <c r="A44" s="287" t="s">
        <v>422</v>
      </c>
      <c r="B44" s="288" t="s">
        <v>423</v>
      </c>
      <c r="C44" s="541">
        <f>C45</f>
        <v>3279472</v>
      </c>
    </row>
    <row r="45" spans="1:3" ht="29.25" customHeight="1">
      <c r="A45" s="287" t="s">
        <v>424</v>
      </c>
      <c r="B45" s="288" t="s">
        <v>425</v>
      </c>
      <c r="C45" s="540">
        <v>3279472</v>
      </c>
    </row>
    <row r="46" spans="1:3" ht="12.75">
      <c r="A46" s="285" t="s">
        <v>426</v>
      </c>
      <c r="B46" s="286" t="s">
        <v>427</v>
      </c>
      <c r="C46" s="539">
        <f>C47+C49</f>
        <v>3311745</v>
      </c>
    </row>
    <row r="47" spans="1:3" ht="25.5">
      <c r="A47" s="287" t="s">
        <v>428</v>
      </c>
      <c r="B47" s="288" t="s">
        <v>429</v>
      </c>
      <c r="C47" s="541">
        <f>C48</f>
        <v>3301745</v>
      </c>
    </row>
    <row r="48" spans="1:3" ht="38.25">
      <c r="A48" s="287" t="s">
        <v>430</v>
      </c>
      <c r="B48" s="288" t="s">
        <v>431</v>
      </c>
      <c r="C48" s="540">
        <v>3301745</v>
      </c>
    </row>
    <row r="49" spans="1:3" ht="27" customHeight="1">
      <c r="A49" s="287" t="s">
        <v>820</v>
      </c>
      <c r="B49" s="288" t="s">
        <v>821</v>
      </c>
      <c r="C49" s="540">
        <f>C50</f>
        <v>10000</v>
      </c>
    </row>
    <row r="50" spans="1:3" ht="25.5">
      <c r="A50" s="287" t="s">
        <v>158</v>
      </c>
      <c r="B50" s="288" t="s">
        <v>159</v>
      </c>
      <c r="C50" s="540">
        <v>10000</v>
      </c>
    </row>
    <row r="51" spans="1:3" ht="38.25" hidden="1">
      <c r="A51" s="285" t="s">
        <v>1001</v>
      </c>
      <c r="B51" s="286" t="s">
        <v>1002</v>
      </c>
      <c r="C51" s="539">
        <f>C52</f>
        <v>0</v>
      </c>
    </row>
    <row r="52" spans="1:3" ht="12.75" hidden="1">
      <c r="A52" s="287" t="s">
        <v>1003</v>
      </c>
      <c r="B52" s="288" t="s">
        <v>1004</v>
      </c>
      <c r="C52" s="540">
        <f>C54</f>
        <v>0</v>
      </c>
    </row>
    <row r="53" spans="1:3" ht="25.5" hidden="1">
      <c r="A53" s="287" t="s">
        <v>1005</v>
      </c>
      <c r="B53" s="288" t="s">
        <v>1006</v>
      </c>
      <c r="C53" s="540">
        <f>C54</f>
        <v>0</v>
      </c>
    </row>
    <row r="54" spans="1:3" ht="38.25" hidden="1">
      <c r="A54" s="287" t="s">
        <v>1007</v>
      </c>
      <c r="B54" s="288" t="s">
        <v>1008</v>
      </c>
      <c r="C54" s="540"/>
    </row>
    <row r="55" spans="1:3" ht="38.25">
      <c r="A55" s="285" t="s">
        <v>432</v>
      </c>
      <c r="B55" s="286" t="s">
        <v>433</v>
      </c>
      <c r="C55" s="539">
        <f>C56+C61+C63</f>
        <v>3223777</v>
      </c>
    </row>
    <row r="56" spans="1:3" ht="76.5">
      <c r="A56" s="287" t="s">
        <v>434</v>
      </c>
      <c r="B56" s="274" t="s">
        <v>771</v>
      </c>
      <c r="C56" s="541">
        <f>C57+C59</f>
        <v>2808687</v>
      </c>
    </row>
    <row r="57" spans="1:3" ht="55.5" customHeight="1">
      <c r="A57" s="287" t="s">
        <v>435</v>
      </c>
      <c r="B57" s="288" t="s">
        <v>276</v>
      </c>
      <c r="C57" s="541">
        <f>C58</f>
        <v>1698674</v>
      </c>
    </row>
    <row r="58" spans="1:3" ht="63.75">
      <c r="A58" s="287" t="s">
        <v>599</v>
      </c>
      <c r="B58" s="288" t="s">
        <v>408</v>
      </c>
      <c r="C58" s="540">
        <f>1698999-325</f>
        <v>1698674</v>
      </c>
    </row>
    <row r="59" spans="1:3" ht="38.25">
      <c r="A59" s="287" t="s">
        <v>600</v>
      </c>
      <c r="B59" s="288" t="s">
        <v>378</v>
      </c>
      <c r="C59" s="541">
        <f>C60</f>
        <v>1110013</v>
      </c>
    </row>
    <row r="60" spans="1:3" ht="30" customHeight="1">
      <c r="A60" s="287" t="s">
        <v>379</v>
      </c>
      <c r="B60" s="288" t="s">
        <v>440</v>
      </c>
      <c r="C60" s="540">
        <f>1110013</f>
        <v>1110013</v>
      </c>
    </row>
    <row r="61" spans="1:3" ht="25.5">
      <c r="A61" s="287" t="s">
        <v>441</v>
      </c>
      <c r="B61" s="288" t="s">
        <v>655</v>
      </c>
      <c r="C61" s="541">
        <f>C62</f>
        <v>26400</v>
      </c>
    </row>
    <row r="62" spans="1:3" ht="44.25" customHeight="1">
      <c r="A62" s="287" t="s">
        <v>656</v>
      </c>
      <c r="B62" s="288" t="s">
        <v>657</v>
      </c>
      <c r="C62" s="540">
        <v>26400</v>
      </c>
    </row>
    <row r="63" spans="1:3" ht="76.5">
      <c r="A63" s="287" t="s">
        <v>658</v>
      </c>
      <c r="B63" s="274" t="s">
        <v>355</v>
      </c>
      <c r="C63" s="541">
        <f>C64</f>
        <v>388690</v>
      </c>
    </row>
    <row r="64" spans="1:3" ht="76.5">
      <c r="A64" s="287" t="s">
        <v>659</v>
      </c>
      <c r="B64" s="274" t="s">
        <v>356</v>
      </c>
      <c r="C64" s="541">
        <f>C65</f>
        <v>388690</v>
      </c>
    </row>
    <row r="65" spans="1:3" ht="65.25" customHeight="1">
      <c r="A65" s="287" t="s">
        <v>660</v>
      </c>
      <c r="B65" s="288" t="s">
        <v>661</v>
      </c>
      <c r="C65" s="540">
        <v>388690</v>
      </c>
    </row>
    <row r="66" spans="1:3" ht="25.5">
      <c r="A66" s="285" t="s">
        <v>662</v>
      </c>
      <c r="B66" s="286" t="s">
        <v>663</v>
      </c>
      <c r="C66" s="539">
        <f>C67</f>
        <v>34667</v>
      </c>
    </row>
    <row r="67" spans="1:3" ht="12.75">
      <c r="A67" s="287" t="s">
        <v>664</v>
      </c>
      <c r="B67" s="37" t="s">
        <v>665</v>
      </c>
      <c r="C67" s="541">
        <f>SUM(C68:C70)</f>
        <v>34667</v>
      </c>
    </row>
    <row r="68" spans="1:3" ht="25.5">
      <c r="A68" s="287" t="s">
        <v>666</v>
      </c>
      <c r="B68" s="37" t="s">
        <v>611</v>
      </c>
      <c r="C68" s="540">
        <v>34667</v>
      </c>
    </row>
    <row r="69" spans="1:3" ht="12.75">
      <c r="A69" s="287" t="s">
        <v>612</v>
      </c>
      <c r="B69" s="37" t="s">
        <v>613</v>
      </c>
      <c r="C69" s="540"/>
    </row>
    <row r="70" spans="1:3" ht="12.75">
      <c r="A70" s="287" t="s">
        <v>822</v>
      </c>
      <c r="B70" s="37" t="s">
        <v>823</v>
      </c>
      <c r="C70" s="540">
        <f>C71</f>
        <v>0</v>
      </c>
    </row>
    <row r="71" spans="1:3" ht="12.75">
      <c r="A71" s="287" t="s">
        <v>824</v>
      </c>
      <c r="B71" s="37" t="s">
        <v>825</v>
      </c>
      <c r="C71" s="540"/>
    </row>
    <row r="72" spans="1:3" ht="25.5">
      <c r="A72" s="285" t="s">
        <v>614</v>
      </c>
      <c r="B72" s="286" t="s">
        <v>572</v>
      </c>
      <c r="C72" s="539">
        <f>C74+C76</f>
        <v>9156325</v>
      </c>
    </row>
    <row r="73" spans="1:3" ht="12.75">
      <c r="A73" s="287" t="s">
        <v>804</v>
      </c>
      <c r="B73" s="1" t="s">
        <v>803</v>
      </c>
      <c r="C73" s="540">
        <f>C74</f>
        <v>9155225</v>
      </c>
    </row>
    <row r="74" spans="1:3" ht="12.75">
      <c r="A74" s="287" t="s">
        <v>615</v>
      </c>
      <c r="B74" s="1" t="s">
        <v>826</v>
      </c>
      <c r="C74" s="541">
        <f>C75</f>
        <v>9155225</v>
      </c>
    </row>
    <row r="75" spans="1:3" ht="25.5">
      <c r="A75" s="287" t="s">
        <v>206</v>
      </c>
      <c r="B75" s="37" t="s">
        <v>616</v>
      </c>
      <c r="C75" s="540">
        <f>9154900+325</f>
        <v>9155225</v>
      </c>
    </row>
    <row r="76" spans="1:3" ht="12.75">
      <c r="A76" s="287" t="s">
        <v>997</v>
      </c>
      <c r="B76" s="37" t="s">
        <v>996</v>
      </c>
      <c r="C76" s="540">
        <f>C77</f>
        <v>1100</v>
      </c>
    </row>
    <row r="77" spans="1:3" ht="12.75">
      <c r="A77" s="287" t="s">
        <v>995</v>
      </c>
      <c r="B77" s="37" t="s">
        <v>994</v>
      </c>
      <c r="C77" s="540">
        <f>C78</f>
        <v>1100</v>
      </c>
    </row>
    <row r="78" spans="1:3" ht="25.5">
      <c r="A78" s="287" t="s">
        <v>993</v>
      </c>
      <c r="B78" s="37" t="s">
        <v>992</v>
      </c>
      <c r="C78" s="540">
        <v>1100</v>
      </c>
    </row>
    <row r="79" spans="1:4" ht="25.5">
      <c r="A79" s="285" t="s">
        <v>207</v>
      </c>
      <c r="B79" s="330" t="s">
        <v>208</v>
      </c>
      <c r="C79" s="539">
        <f>C83+C80</f>
        <v>623332</v>
      </c>
      <c r="D79" s="346"/>
    </row>
    <row r="80" spans="1:4" ht="76.5">
      <c r="A80" s="352" t="s">
        <v>827</v>
      </c>
      <c r="B80" s="37" t="s">
        <v>828</v>
      </c>
      <c r="C80" s="541">
        <f>C81</f>
        <v>287240</v>
      </c>
      <c r="D80" s="346"/>
    </row>
    <row r="81" spans="1:4" ht="89.25">
      <c r="A81" s="287" t="s">
        <v>829</v>
      </c>
      <c r="B81" s="37" t="s">
        <v>830</v>
      </c>
      <c r="C81" s="541">
        <f>C82</f>
        <v>287240</v>
      </c>
      <c r="D81" s="346"/>
    </row>
    <row r="82" spans="1:4" ht="76.5">
      <c r="A82" s="287" t="s">
        <v>4</v>
      </c>
      <c r="B82" s="37" t="s">
        <v>831</v>
      </c>
      <c r="C82" s="540">
        <v>287240</v>
      </c>
      <c r="D82" s="346"/>
    </row>
    <row r="83" spans="1:4" ht="25.5">
      <c r="A83" s="352" t="s">
        <v>209</v>
      </c>
      <c r="B83" s="37" t="s">
        <v>210</v>
      </c>
      <c r="C83" s="541">
        <f>C84</f>
        <v>336092</v>
      </c>
      <c r="D83" s="346"/>
    </row>
    <row r="84" spans="1:4" ht="25.5">
      <c r="A84" s="287" t="s">
        <v>211</v>
      </c>
      <c r="B84" s="37" t="s">
        <v>212</v>
      </c>
      <c r="C84" s="541">
        <f>C85</f>
        <v>336092</v>
      </c>
      <c r="D84" s="346"/>
    </row>
    <row r="85" spans="1:4" ht="38.25">
      <c r="A85" s="287" t="s">
        <v>213</v>
      </c>
      <c r="B85" s="37" t="s">
        <v>175</v>
      </c>
      <c r="C85" s="540">
        <v>336092</v>
      </c>
      <c r="D85" s="346"/>
    </row>
    <row r="86" spans="1:4" ht="12.75">
      <c r="A86" s="329" t="s">
        <v>176</v>
      </c>
      <c r="B86" s="330" t="s">
        <v>335</v>
      </c>
      <c r="C86" s="539">
        <f>C87+C89+C93+C95+C97+C99+C101+C105+C107+C109+C112+C115+C91+C103</f>
        <v>345173</v>
      </c>
      <c r="D86" s="346"/>
    </row>
    <row r="87" spans="1:4" ht="51">
      <c r="A87" s="98" t="s">
        <v>802</v>
      </c>
      <c r="B87" s="331" t="s">
        <v>801</v>
      </c>
      <c r="C87" s="540">
        <f>C88</f>
        <v>6900</v>
      </c>
      <c r="D87" s="346"/>
    </row>
    <row r="88" spans="1:4" ht="76.5">
      <c r="A88" s="98" t="s">
        <v>674</v>
      </c>
      <c r="B88" s="290" t="s">
        <v>675</v>
      </c>
      <c r="C88" s="540">
        <v>6900</v>
      </c>
      <c r="D88" s="346"/>
    </row>
    <row r="89" spans="1:4" ht="63.75">
      <c r="A89" s="98" t="s">
        <v>800</v>
      </c>
      <c r="B89" s="332" t="s">
        <v>799</v>
      </c>
      <c r="C89" s="540">
        <f>C90</f>
        <v>14433</v>
      </c>
      <c r="D89" s="346"/>
    </row>
    <row r="90" spans="1:4" ht="89.25">
      <c r="A90" s="98" t="s">
        <v>676</v>
      </c>
      <c r="B90" s="290" t="s">
        <v>677</v>
      </c>
      <c r="C90" s="540">
        <f>28463-530-500-1000-12000</f>
        <v>14433</v>
      </c>
      <c r="D90" s="346"/>
    </row>
    <row r="91" spans="1:4" ht="51">
      <c r="A91" s="98" t="s">
        <v>975</v>
      </c>
      <c r="B91" s="290" t="s">
        <v>976</v>
      </c>
      <c r="C91" s="543">
        <f>C92</f>
        <v>530</v>
      </c>
      <c r="D91" s="346"/>
    </row>
    <row r="92" spans="1:4" ht="76.5">
      <c r="A92" s="98" t="s">
        <v>977</v>
      </c>
      <c r="B92" s="290" t="s">
        <v>978</v>
      </c>
      <c r="C92" s="543">
        <v>530</v>
      </c>
      <c r="D92" s="346"/>
    </row>
    <row r="93" spans="1:4" ht="51">
      <c r="A93" s="98" t="s">
        <v>832</v>
      </c>
      <c r="B93" s="290" t="s">
        <v>833</v>
      </c>
      <c r="C93" s="543">
        <f>C94</f>
        <v>4500</v>
      </c>
      <c r="D93" s="346"/>
    </row>
    <row r="94" spans="1:4" ht="76.5">
      <c r="A94" s="98" t="s">
        <v>834</v>
      </c>
      <c r="B94" s="290" t="s">
        <v>835</v>
      </c>
      <c r="C94" s="543">
        <f>2510+990+1000</f>
        <v>4500</v>
      </c>
      <c r="D94" s="346"/>
    </row>
    <row r="95" spans="1:4" ht="51">
      <c r="A95" s="98" t="s">
        <v>836</v>
      </c>
      <c r="B95" s="290" t="s">
        <v>837</v>
      </c>
      <c r="C95" s="543">
        <f>C96</f>
        <v>600</v>
      </c>
      <c r="D95" s="346"/>
    </row>
    <row r="96" spans="1:4" ht="76.5">
      <c r="A96" s="98" t="s">
        <v>838</v>
      </c>
      <c r="B96" s="290" t="s">
        <v>839</v>
      </c>
      <c r="C96" s="543">
        <f>1500-900</f>
        <v>600</v>
      </c>
      <c r="D96" s="346"/>
    </row>
    <row r="97" spans="1:4" ht="51">
      <c r="A97" s="98" t="s">
        <v>840</v>
      </c>
      <c r="B97" s="290" t="s">
        <v>841</v>
      </c>
      <c r="C97" s="543">
        <f>C98</f>
        <v>27000</v>
      </c>
      <c r="D97" s="346"/>
    </row>
    <row r="98" spans="1:4" ht="65.25" customHeight="1">
      <c r="A98" s="98" t="s">
        <v>842</v>
      </c>
      <c r="B98" s="290" t="s">
        <v>843</v>
      </c>
      <c r="C98" s="543">
        <f>24000+3000</f>
        <v>27000</v>
      </c>
      <c r="D98" s="346"/>
    </row>
    <row r="99" spans="1:4" ht="63.75">
      <c r="A99" s="98" t="s">
        <v>798</v>
      </c>
      <c r="B99" s="331" t="s">
        <v>797</v>
      </c>
      <c r="C99" s="543">
        <f>C100</f>
        <v>300</v>
      </c>
      <c r="D99" s="346"/>
    </row>
    <row r="100" spans="1:3" ht="89.25">
      <c r="A100" s="98" t="s">
        <v>667</v>
      </c>
      <c r="B100" s="292" t="s">
        <v>668</v>
      </c>
      <c r="C100" s="544">
        <f>15500-4500-3000-7700</f>
        <v>300</v>
      </c>
    </row>
    <row r="101" spans="1:3" ht="63.75">
      <c r="A101" s="98" t="s">
        <v>796</v>
      </c>
      <c r="B101" s="332" t="s">
        <v>795</v>
      </c>
      <c r="C101" s="544">
        <f>C102</f>
        <v>6536</v>
      </c>
    </row>
    <row r="102" spans="1:3" ht="102">
      <c r="A102" s="98" t="s">
        <v>669</v>
      </c>
      <c r="B102" s="291" t="s">
        <v>670</v>
      </c>
      <c r="C102" s="545">
        <v>6536</v>
      </c>
    </row>
    <row r="103" spans="1:3" ht="51">
      <c r="A103" s="98" t="s">
        <v>979</v>
      </c>
      <c r="B103" s="291" t="s">
        <v>980</v>
      </c>
      <c r="C103" s="545">
        <f>C104</f>
        <v>750</v>
      </c>
    </row>
    <row r="104" spans="1:3" ht="76.5">
      <c r="A104" s="98" t="s">
        <v>981</v>
      </c>
      <c r="B104" s="291" t="s">
        <v>982</v>
      </c>
      <c r="C104" s="545">
        <v>750</v>
      </c>
    </row>
    <row r="105" spans="1:3" ht="51">
      <c r="A105" s="98" t="s">
        <v>794</v>
      </c>
      <c r="B105" s="332" t="s">
        <v>793</v>
      </c>
      <c r="C105" s="545">
        <f>C106</f>
        <v>12000</v>
      </c>
    </row>
    <row r="106" spans="1:3" ht="76.5">
      <c r="A106" s="98" t="s">
        <v>671</v>
      </c>
      <c r="B106" s="290" t="s">
        <v>672</v>
      </c>
      <c r="C106" s="543">
        <f>22500-10500</f>
        <v>12000</v>
      </c>
    </row>
    <row r="107" spans="1:3" ht="63.75">
      <c r="A107" s="98" t="s">
        <v>792</v>
      </c>
      <c r="B107" s="331" t="s">
        <v>791</v>
      </c>
      <c r="C107" s="544">
        <f>C108</f>
        <v>135076</v>
      </c>
    </row>
    <row r="108" spans="1:3" ht="76.5">
      <c r="A108" s="98" t="s">
        <v>679</v>
      </c>
      <c r="B108" s="333" t="s">
        <v>680</v>
      </c>
      <c r="C108" s="546">
        <f>119994-12000+31627-45-4500</f>
        <v>135076</v>
      </c>
    </row>
    <row r="109" spans="1:3" ht="102">
      <c r="A109" s="98" t="s">
        <v>939</v>
      </c>
      <c r="B109" s="334" t="s">
        <v>790</v>
      </c>
      <c r="C109" s="544">
        <f>C110</f>
        <v>53500</v>
      </c>
    </row>
    <row r="110" spans="1:3" ht="76.5">
      <c r="A110" s="98" t="s">
        <v>789</v>
      </c>
      <c r="B110" s="65" t="s">
        <v>788</v>
      </c>
      <c r="C110" s="544">
        <f>C111</f>
        <v>53500</v>
      </c>
    </row>
    <row r="111" spans="1:3" ht="63.75">
      <c r="A111" s="98" t="s">
        <v>339</v>
      </c>
      <c r="B111" s="291" t="s">
        <v>340</v>
      </c>
      <c r="C111" s="546">
        <f>26500+27000</f>
        <v>53500</v>
      </c>
    </row>
    <row r="112" spans="1:3" ht="63.75">
      <c r="A112" s="98" t="s">
        <v>844</v>
      </c>
      <c r="B112" s="291" t="s">
        <v>845</v>
      </c>
      <c r="C112" s="544">
        <f>C113+C114</f>
        <v>24319</v>
      </c>
    </row>
    <row r="113" spans="1:3" ht="63.75" hidden="1">
      <c r="A113" s="98" t="s">
        <v>673</v>
      </c>
      <c r="B113" s="291" t="s">
        <v>846</v>
      </c>
      <c r="C113" s="544"/>
    </row>
    <row r="114" spans="1:3" ht="63.75">
      <c r="A114" s="98" t="s">
        <v>678</v>
      </c>
      <c r="B114" s="291" t="s">
        <v>847</v>
      </c>
      <c r="C114" s="544">
        <f>15719+8600</f>
        <v>24319</v>
      </c>
    </row>
    <row r="115" spans="1:3" ht="12.75">
      <c r="A115" s="98" t="s">
        <v>848</v>
      </c>
      <c r="B115" s="291" t="s">
        <v>849</v>
      </c>
      <c r="C115" s="544">
        <f>C116</f>
        <v>58729</v>
      </c>
    </row>
    <row r="116" spans="1:3" ht="91.5" customHeight="1">
      <c r="A116" s="98" t="s">
        <v>850</v>
      </c>
      <c r="B116" s="291" t="s">
        <v>851</v>
      </c>
      <c r="C116" s="547">
        <f>66024-7295</f>
        <v>58729</v>
      </c>
    </row>
    <row r="117" spans="1:3" ht="12.75" hidden="1">
      <c r="A117" s="329" t="s">
        <v>375</v>
      </c>
      <c r="B117" s="353" t="s">
        <v>376</v>
      </c>
      <c r="C117" s="544">
        <f>C118</f>
        <v>0</v>
      </c>
    </row>
    <row r="118" spans="1:3" ht="12.75" hidden="1">
      <c r="A118" s="354" t="s">
        <v>852</v>
      </c>
      <c r="B118" s="355" t="s">
        <v>853</v>
      </c>
      <c r="C118" s="544">
        <f>C119</f>
        <v>0</v>
      </c>
    </row>
    <row r="119" spans="1:3" ht="12.75" hidden="1">
      <c r="A119" s="354" t="s">
        <v>68</v>
      </c>
      <c r="B119" s="355" t="s">
        <v>69</v>
      </c>
      <c r="C119" s="544"/>
    </row>
    <row r="120" spans="1:3" ht="12.75">
      <c r="A120" s="293" t="s">
        <v>393</v>
      </c>
      <c r="B120" s="29" t="s">
        <v>360</v>
      </c>
      <c r="C120" s="548">
        <f>C121+C199+C195+C198</f>
        <v>595019054.0899999</v>
      </c>
    </row>
    <row r="121" spans="1:3" ht="25.5">
      <c r="A121" s="294" t="s">
        <v>394</v>
      </c>
      <c r="B121" s="30" t="s">
        <v>346</v>
      </c>
      <c r="C121" s="549">
        <f>C122+C129+C154+C194</f>
        <v>593460200.66</v>
      </c>
    </row>
    <row r="122" spans="1:3" ht="25.5">
      <c r="A122" s="294" t="s">
        <v>381</v>
      </c>
      <c r="B122" s="65" t="s">
        <v>409</v>
      </c>
      <c r="C122" s="549">
        <f>C123+C125+C127</f>
        <v>73799343</v>
      </c>
    </row>
    <row r="123" spans="1:3" ht="12.75">
      <c r="A123" s="31" t="s">
        <v>382</v>
      </c>
      <c r="B123" s="13" t="s">
        <v>501</v>
      </c>
      <c r="C123" s="550">
        <f>C124</f>
        <v>43970181</v>
      </c>
    </row>
    <row r="124" spans="1:3" ht="38.25">
      <c r="A124" s="31" t="s">
        <v>383</v>
      </c>
      <c r="B124" s="63" t="s">
        <v>502</v>
      </c>
      <c r="C124" s="482">
        <v>43970181</v>
      </c>
    </row>
    <row r="125" spans="1:3" ht="25.5">
      <c r="A125" s="31" t="s">
        <v>854</v>
      </c>
      <c r="B125" s="13" t="s">
        <v>855</v>
      </c>
      <c r="C125" s="550">
        <f>C126</f>
        <v>29829162</v>
      </c>
    </row>
    <row r="126" spans="1:3" ht="25.5">
      <c r="A126" s="31" t="s">
        <v>856</v>
      </c>
      <c r="B126" s="13" t="s">
        <v>857</v>
      </c>
      <c r="C126" s="550">
        <f>3670045+18517761+7641356</f>
        <v>29829162</v>
      </c>
    </row>
    <row r="127" spans="1:3" ht="12.75" hidden="1">
      <c r="A127" s="31" t="s">
        <v>858</v>
      </c>
      <c r="B127" s="13" t="s">
        <v>859</v>
      </c>
      <c r="C127" s="550">
        <f>C128</f>
        <v>0</v>
      </c>
    </row>
    <row r="128" spans="1:3" ht="12.75" hidden="1">
      <c r="A128" s="31" t="s">
        <v>860</v>
      </c>
      <c r="B128" s="13" t="s">
        <v>861</v>
      </c>
      <c r="C128" s="550"/>
    </row>
    <row r="129" spans="1:3" ht="25.5">
      <c r="A129" s="295" t="s">
        <v>570</v>
      </c>
      <c r="B129" s="291" t="s">
        <v>410</v>
      </c>
      <c r="C129" s="549">
        <f>C130+C132+C144+C148+C138+C142+C140+C134+C136+C146</f>
        <v>286195936.65999997</v>
      </c>
    </row>
    <row r="130" spans="1:3" ht="102">
      <c r="A130" s="98" t="s">
        <v>610</v>
      </c>
      <c r="B130" s="291" t="s">
        <v>349</v>
      </c>
      <c r="C130" s="482">
        <f>C131</f>
        <v>34979164.97</v>
      </c>
    </row>
    <row r="131" spans="1:3" ht="102">
      <c r="A131" s="289" t="s">
        <v>608</v>
      </c>
      <c r="B131" s="291" t="s">
        <v>609</v>
      </c>
      <c r="C131" s="482">
        <f>31409414.15+3569750.82</f>
        <v>34979164.97</v>
      </c>
    </row>
    <row r="132" spans="1:3" ht="76.5">
      <c r="A132" s="289" t="s">
        <v>350</v>
      </c>
      <c r="B132" s="291" t="s">
        <v>351</v>
      </c>
      <c r="C132" s="482">
        <f>C133</f>
        <v>18865327.73</v>
      </c>
    </row>
    <row r="133" spans="1:3" ht="76.5">
      <c r="A133" s="289" t="s">
        <v>414</v>
      </c>
      <c r="B133" s="291" t="s">
        <v>413</v>
      </c>
      <c r="C133" s="482">
        <f>6371534.65+12493793.08</f>
        <v>18865327.73</v>
      </c>
    </row>
    <row r="134" spans="1:3" ht="65.25" customHeight="1">
      <c r="A134" s="289" t="s">
        <v>144</v>
      </c>
      <c r="B134" s="291" t="s">
        <v>935</v>
      </c>
      <c r="C134" s="482">
        <f>C135</f>
        <v>3355086</v>
      </c>
    </row>
    <row r="135" spans="1:3" ht="63.75">
      <c r="A135" s="289" t="s">
        <v>145</v>
      </c>
      <c r="B135" s="291" t="s">
        <v>936</v>
      </c>
      <c r="C135" s="482">
        <v>3355086</v>
      </c>
    </row>
    <row r="136" spans="1:3" ht="39.75" customHeight="1">
      <c r="A136" s="289" t="s">
        <v>146</v>
      </c>
      <c r="B136" s="291" t="s">
        <v>937</v>
      </c>
      <c r="C136" s="482">
        <f>C137</f>
        <v>3795930</v>
      </c>
    </row>
    <row r="137" spans="1:3" ht="38.25">
      <c r="A137" s="289" t="s">
        <v>147</v>
      </c>
      <c r="B137" s="291" t="s">
        <v>938</v>
      </c>
      <c r="C137" s="482">
        <v>3795930</v>
      </c>
    </row>
    <row r="138" spans="1:3" ht="51">
      <c r="A138" s="98" t="s">
        <v>133</v>
      </c>
      <c r="B138" s="290" t="s">
        <v>134</v>
      </c>
      <c r="C138" s="482">
        <f>C139</f>
        <v>5484839</v>
      </c>
    </row>
    <row r="139" spans="1:3" ht="51">
      <c r="A139" s="98" t="s">
        <v>135</v>
      </c>
      <c r="B139" s="290" t="s">
        <v>136</v>
      </c>
      <c r="C139" s="482">
        <v>5484839</v>
      </c>
    </row>
    <row r="140" spans="1:3" ht="38.25" hidden="1">
      <c r="A140" s="98" t="s">
        <v>787</v>
      </c>
      <c r="B140" s="290" t="s">
        <v>786</v>
      </c>
      <c r="C140" s="482">
        <f>C141</f>
        <v>0</v>
      </c>
    </row>
    <row r="141" spans="1:3" ht="51" hidden="1">
      <c r="A141" s="98" t="s">
        <v>785</v>
      </c>
      <c r="B141" s="290" t="s">
        <v>784</v>
      </c>
      <c r="C141" s="482"/>
    </row>
    <row r="142" spans="1:3" ht="51" hidden="1">
      <c r="A142" s="98" t="s">
        <v>137</v>
      </c>
      <c r="B142" s="99" t="s">
        <v>138</v>
      </c>
      <c r="C142" s="482">
        <f>C143</f>
        <v>0</v>
      </c>
    </row>
    <row r="143" spans="1:3" ht="51" hidden="1">
      <c r="A143" s="98" t="s">
        <v>139</v>
      </c>
      <c r="B143" s="99" t="s">
        <v>140</v>
      </c>
      <c r="C143" s="482"/>
    </row>
    <row r="144" spans="1:3" ht="25.5">
      <c r="A144" s="289" t="s">
        <v>187</v>
      </c>
      <c r="B144" s="291" t="s">
        <v>188</v>
      </c>
      <c r="C144" s="551">
        <f>C145</f>
        <v>5213247.96</v>
      </c>
    </row>
    <row r="145" spans="1:3" ht="25.5">
      <c r="A145" s="289" t="s">
        <v>190</v>
      </c>
      <c r="B145" s="291" t="s">
        <v>189</v>
      </c>
      <c r="C145" s="552">
        <f>5255258-42010.04</f>
        <v>5213247.96</v>
      </c>
    </row>
    <row r="146" spans="1:3" ht="25.5">
      <c r="A146" s="289" t="s">
        <v>983</v>
      </c>
      <c r="B146" s="291" t="s">
        <v>984</v>
      </c>
      <c r="C146" s="552">
        <f>C147</f>
        <v>155896370</v>
      </c>
    </row>
    <row r="147" spans="1:3" ht="30" customHeight="1">
      <c r="A147" s="289" t="s">
        <v>985</v>
      </c>
      <c r="B147" s="291" t="s">
        <v>986</v>
      </c>
      <c r="C147" s="552">
        <v>155896370</v>
      </c>
    </row>
    <row r="148" spans="1:3" ht="12.75">
      <c r="A148" s="296" t="s">
        <v>571</v>
      </c>
      <c r="B148" s="297" t="s">
        <v>224</v>
      </c>
      <c r="C148" s="482">
        <f>SUM(C149:C153)</f>
        <v>58605971</v>
      </c>
    </row>
    <row r="149" spans="1:3" ht="67.5" customHeight="1">
      <c r="A149" s="296" t="s">
        <v>571</v>
      </c>
      <c r="B149" s="47" t="s">
        <v>225</v>
      </c>
      <c r="C149" s="482">
        <v>318065</v>
      </c>
    </row>
    <row r="150" spans="1:3" ht="51">
      <c r="A150" s="296" t="s">
        <v>571</v>
      </c>
      <c r="B150" s="296" t="s">
        <v>226</v>
      </c>
      <c r="C150" s="482">
        <v>993564</v>
      </c>
    </row>
    <row r="151" spans="1:3" ht="40.5" customHeight="1">
      <c r="A151" s="296" t="s">
        <v>571</v>
      </c>
      <c r="B151" s="356" t="s">
        <v>141</v>
      </c>
      <c r="C151" s="482">
        <v>57294342</v>
      </c>
    </row>
    <row r="152" spans="1:3" ht="25.5" hidden="1">
      <c r="A152" s="296" t="s">
        <v>571</v>
      </c>
      <c r="B152" s="47" t="s">
        <v>783</v>
      </c>
      <c r="C152" s="482"/>
    </row>
    <row r="153" spans="1:3" ht="25.5" hidden="1">
      <c r="A153" s="296" t="s">
        <v>571</v>
      </c>
      <c r="B153" s="47" t="s">
        <v>227</v>
      </c>
      <c r="C153" s="482"/>
    </row>
    <row r="154" spans="1:3" ht="25.5">
      <c r="A154" s="294" t="s">
        <v>384</v>
      </c>
      <c r="B154" s="429" t="s">
        <v>411</v>
      </c>
      <c r="C154" s="549">
        <f>C155+C157+C163+C165+C169+C167+C161+C159</f>
        <v>233464921</v>
      </c>
    </row>
    <row r="155" spans="1:3" ht="51">
      <c r="A155" s="299" t="s">
        <v>385</v>
      </c>
      <c r="B155" s="13" t="s">
        <v>161</v>
      </c>
      <c r="C155" s="550">
        <f>C156</f>
        <v>134715</v>
      </c>
    </row>
    <row r="156" spans="1:3" ht="38.25">
      <c r="A156" s="299" t="s">
        <v>386</v>
      </c>
      <c r="B156" s="13" t="s">
        <v>288</v>
      </c>
      <c r="C156" s="482">
        <v>134715</v>
      </c>
    </row>
    <row r="157" spans="1:3" ht="38.25">
      <c r="A157" s="299" t="s">
        <v>387</v>
      </c>
      <c r="B157" s="13" t="s">
        <v>507</v>
      </c>
      <c r="C157" s="550">
        <f>C158</f>
        <v>6071609</v>
      </c>
    </row>
    <row r="158" spans="1:3" ht="38.25">
      <c r="A158" s="299" t="s">
        <v>388</v>
      </c>
      <c r="B158" s="63" t="s">
        <v>362</v>
      </c>
      <c r="C158" s="482">
        <v>6071609</v>
      </c>
    </row>
    <row r="159" spans="1:3" ht="51">
      <c r="A159" s="357" t="s">
        <v>877</v>
      </c>
      <c r="B159" s="63" t="s">
        <v>879</v>
      </c>
      <c r="C159" s="482">
        <f>C160</f>
        <v>5797348</v>
      </c>
    </row>
    <row r="160" spans="1:3" ht="51">
      <c r="A160" s="357" t="s">
        <v>878</v>
      </c>
      <c r="B160" s="63" t="s">
        <v>880</v>
      </c>
      <c r="C160" s="482">
        <f>4228092+1569256</f>
        <v>5797348</v>
      </c>
    </row>
    <row r="161" spans="1:3" ht="51">
      <c r="A161" s="358" t="s">
        <v>862</v>
      </c>
      <c r="B161" s="63" t="s">
        <v>863</v>
      </c>
      <c r="C161" s="482">
        <f>C162</f>
        <v>41201</v>
      </c>
    </row>
    <row r="162" spans="1:3" ht="51">
      <c r="A162" s="299" t="s">
        <v>864</v>
      </c>
      <c r="B162" s="63" t="s">
        <v>865</v>
      </c>
      <c r="C162" s="482">
        <v>41201</v>
      </c>
    </row>
    <row r="163" spans="1:3" ht="38.25">
      <c r="A163" s="299" t="s">
        <v>496</v>
      </c>
      <c r="B163" s="13" t="s">
        <v>497</v>
      </c>
      <c r="C163" s="482">
        <f>C164</f>
        <v>41186977</v>
      </c>
    </row>
    <row r="164" spans="1:3" ht="38.25">
      <c r="A164" s="299" t="s">
        <v>498</v>
      </c>
      <c r="B164" s="13" t="s">
        <v>499</v>
      </c>
      <c r="C164" s="482">
        <f>5614307+37572670-2000000</f>
        <v>41186977</v>
      </c>
    </row>
    <row r="165" spans="1:3" ht="51">
      <c r="A165" s="359" t="s">
        <v>772</v>
      </c>
      <c r="B165" s="291" t="s">
        <v>773</v>
      </c>
      <c r="C165" s="482">
        <f>C166</f>
        <v>6473312</v>
      </c>
    </row>
    <row r="166" spans="1:3" ht="51">
      <c r="A166" s="98" t="s">
        <v>774</v>
      </c>
      <c r="B166" s="291" t="s">
        <v>155</v>
      </c>
      <c r="C166" s="482">
        <v>6473312</v>
      </c>
    </row>
    <row r="167" spans="1:3" ht="25.5" hidden="1">
      <c r="A167" s="98" t="s">
        <v>782</v>
      </c>
      <c r="B167" s="291" t="s">
        <v>781</v>
      </c>
      <c r="C167" s="482">
        <f>C168</f>
        <v>0</v>
      </c>
    </row>
    <row r="168" spans="1:3" ht="25.5" hidden="1">
      <c r="A168" s="98" t="s">
        <v>780</v>
      </c>
      <c r="B168" s="291" t="s">
        <v>779</v>
      </c>
      <c r="C168" s="482"/>
    </row>
    <row r="169" spans="1:3" ht="12.75">
      <c r="A169" s="360" t="s">
        <v>412</v>
      </c>
      <c r="B169" s="82" t="s">
        <v>363</v>
      </c>
      <c r="C169" s="550">
        <f>C170</f>
        <v>173759759</v>
      </c>
    </row>
    <row r="170" spans="1:3" ht="12.75">
      <c r="A170" s="299" t="s">
        <v>389</v>
      </c>
      <c r="B170" s="66" t="s">
        <v>83</v>
      </c>
      <c r="C170" s="550">
        <f>SUM(C171:C174)+SUM(C176:C178)+C181+C189</f>
        <v>173759759</v>
      </c>
    </row>
    <row r="171" spans="1:3" ht="76.5" customHeight="1">
      <c r="A171" s="299" t="s">
        <v>389</v>
      </c>
      <c r="B171" s="13" t="s">
        <v>765</v>
      </c>
      <c r="C171" s="482">
        <v>334700</v>
      </c>
    </row>
    <row r="172" spans="1:3" ht="102">
      <c r="A172" s="299" t="s">
        <v>389</v>
      </c>
      <c r="B172" s="13" t="s">
        <v>715</v>
      </c>
      <c r="C172" s="482">
        <v>334700</v>
      </c>
    </row>
    <row r="173" spans="1:3" ht="79.5" customHeight="1">
      <c r="A173" s="299" t="s">
        <v>389</v>
      </c>
      <c r="B173" s="13" t="s">
        <v>264</v>
      </c>
      <c r="C173" s="482">
        <v>334700</v>
      </c>
    </row>
    <row r="174" spans="1:3" ht="78" customHeight="1">
      <c r="A174" s="299" t="s">
        <v>389</v>
      </c>
      <c r="B174" s="13" t="s">
        <v>70</v>
      </c>
      <c r="C174" s="550">
        <f>C175</f>
        <v>1004100</v>
      </c>
    </row>
    <row r="175" spans="1:3" ht="12.75">
      <c r="A175" s="31"/>
      <c r="B175" s="33" t="s">
        <v>364</v>
      </c>
      <c r="C175" s="482">
        <v>1004100</v>
      </c>
    </row>
    <row r="176" spans="1:3" ht="114.75">
      <c r="A176" s="299" t="s">
        <v>389</v>
      </c>
      <c r="B176" s="13" t="s">
        <v>392</v>
      </c>
      <c r="C176" s="482">
        <v>96274514</v>
      </c>
    </row>
    <row r="177" spans="1:3" ht="102">
      <c r="A177" s="299" t="s">
        <v>389</v>
      </c>
      <c r="B177" s="13" t="s">
        <v>168</v>
      </c>
      <c r="C177" s="482">
        <v>55488082</v>
      </c>
    </row>
    <row r="178" spans="1:3" ht="114.75">
      <c r="A178" s="299" t="s">
        <v>389</v>
      </c>
      <c r="B178" s="34" t="s">
        <v>598</v>
      </c>
      <c r="C178" s="550">
        <f>SUM(C179:C180)</f>
        <v>5352121</v>
      </c>
    </row>
    <row r="179" spans="1:3" ht="51">
      <c r="A179" s="31"/>
      <c r="B179" s="33" t="s">
        <v>322</v>
      </c>
      <c r="C179" s="482">
        <v>236023</v>
      </c>
    </row>
    <row r="180" spans="1:3" ht="25.5">
      <c r="A180" s="31"/>
      <c r="B180" s="33" t="s">
        <v>365</v>
      </c>
      <c r="C180" s="482">
        <v>5116098</v>
      </c>
    </row>
    <row r="181" spans="1:3" ht="76.5">
      <c r="A181" s="299" t="s">
        <v>389</v>
      </c>
      <c r="B181" s="13" t="s">
        <v>575</v>
      </c>
      <c r="C181" s="553">
        <f>SUM(C182:C188)</f>
        <v>13385272</v>
      </c>
    </row>
    <row r="182" spans="1:3" ht="38.25" hidden="1">
      <c r="A182" s="31"/>
      <c r="B182" s="33" t="s">
        <v>366</v>
      </c>
      <c r="C182" s="482"/>
    </row>
    <row r="183" spans="1:3" ht="25.5">
      <c r="A183" s="31"/>
      <c r="B183" s="33" t="s">
        <v>367</v>
      </c>
      <c r="C183" s="482">
        <f>7619418-401775</f>
        <v>7217643</v>
      </c>
    </row>
    <row r="184" spans="1:3" ht="63.75">
      <c r="A184" s="31"/>
      <c r="B184" s="33" t="s">
        <v>542</v>
      </c>
      <c r="C184" s="482">
        <v>285929</v>
      </c>
    </row>
    <row r="185" spans="1:3" ht="12.75">
      <c r="A185" s="31"/>
      <c r="B185" s="33" t="s">
        <v>543</v>
      </c>
      <c r="C185" s="482">
        <v>1839382</v>
      </c>
    </row>
    <row r="186" spans="1:3" ht="38.25">
      <c r="A186" s="31"/>
      <c r="B186" s="33" t="s">
        <v>544</v>
      </c>
      <c r="C186" s="482">
        <v>2342900</v>
      </c>
    </row>
    <row r="187" spans="1:3" ht="51">
      <c r="A187" s="299"/>
      <c r="B187" s="128" t="s">
        <v>0</v>
      </c>
      <c r="C187" s="482">
        <v>1094800</v>
      </c>
    </row>
    <row r="188" spans="1:3" ht="25.5">
      <c r="A188" s="299"/>
      <c r="B188" s="127" t="s">
        <v>500</v>
      </c>
      <c r="C188" s="482">
        <f>842269-237651</f>
        <v>604618</v>
      </c>
    </row>
    <row r="189" spans="1:3" ht="76.5">
      <c r="A189" s="299" t="s">
        <v>389</v>
      </c>
      <c r="B189" s="34" t="s">
        <v>576</v>
      </c>
      <c r="C189" s="482">
        <f>SUM(C190:C191)</f>
        <v>1251570</v>
      </c>
    </row>
    <row r="190" spans="1:3" ht="38.25">
      <c r="A190" s="31"/>
      <c r="B190" s="33" t="s">
        <v>577</v>
      </c>
      <c r="C190" s="482">
        <v>1084220</v>
      </c>
    </row>
    <row r="191" spans="1:3" ht="51">
      <c r="A191" s="83"/>
      <c r="B191" s="39" t="s">
        <v>578</v>
      </c>
      <c r="C191" s="554">
        <v>167350</v>
      </c>
    </row>
    <row r="192" spans="1:3" ht="12.75" customHeight="1" hidden="1">
      <c r="A192" s="294" t="s">
        <v>1</v>
      </c>
      <c r="B192" s="361" t="s">
        <v>2</v>
      </c>
      <c r="C192" s="554">
        <f>C193</f>
        <v>0</v>
      </c>
    </row>
    <row r="193" spans="1:3" ht="63.75" customHeight="1" hidden="1">
      <c r="A193" s="296" t="s">
        <v>505</v>
      </c>
      <c r="B193" s="65" t="s">
        <v>506</v>
      </c>
      <c r="C193" s="554">
        <f>C194</f>
        <v>0</v>
      </c>
    </row>
    <row r="194" spans="1:3" ht="63.75" customHeight="1" hidden="1" thickBot="1">
      <c r="A194" s="362" t="s">
        <v>503</v>
      </c>
      <c r="B194" s="291" t="s">
        <v>504</v>
      </c>
      <c r="C194" s="554"/>
    </row>
    <row r="195" spans="1:3" ht="12.75" customHeight="1">
      <c r="A195" s="363" t="s">
        <v>3</v>
      </c>
      <c r="B195" s="364" t="s">
        <v>778</v>
      </c>
      <c r="C195" s="554">
        <f>C196</f>
        <v>10500</v>
      </c>
    </row>
    <row r="196" spans="1:3" ht="25.5" customHeight="1">
      <c r="A196" s="359" t="s">
        <v>777</v>
      </c>
      <c r="B196" s="34" t="s">
        <v>775</v>
      </c>
      <c r="C196" s="554">
        <f>C197</f>
        <v>10500</v>
      </c>
    </row>
    <row r="197" spans="1:3" ht="25.5" customHeight="1">
      <c r="A197" s="345" t="s">
        <v>776</v>
      </c>
      <c r="B197" s="126" t="s">
        <v>775</v>
      </c>
      <c r="C197" s="554">
        <v>10500</v>
      </c>
    </row>
    <row r="198" spans="1:3" ht="39" thickBot="1">
      <c r="A198" s="430" t="s">
        <v>987</v>
      </c>
      <c r="B198" s="365" t="s">
        <v>988</v>
      </c>
      <c r="C198" s="554">
        <v>4261060.8</v>
      </c>
    </row>
    <row r="199" spans="1:3" ht="39" thickBot="1">
      <c r="A199" s="363" t="s">
        <v>142</v>
      </c>
      <c r="B199" s="365" t="s">
        <v>143</v>
      </c>
      <c r="C199" s="554">
        <f>-3712351.67+107206.6+892437.7</f>
        <v>-2712707.37</v>
      </c>
    </row>
  </sheetData>
  <sheetProtection/>
  <mergeCells count="4">
    <mergeCell ref="A1:C1"/>
    <mergeCell ref="A2:C2"/>
    <mergeCell ref="A3:C3"/>
    <mergeCell ref="A4:C4"/>
  </mergeCells>
  <hyperlinks>
    <hyperlink ref="B87" r:id="rId1" display="/document/12125267/entry/50"/>
    <hyperlink ref="B89" r:id="rId2" display="https://internet.garant.ru/#/document/12125267/entry/60"/>
    <hyperlink ref="B99" r:id="rId3" display="/document/12125267/entry/140"/>
    <hyperlink ref="B101" r:id="rId4" display="https://internet.garant.ru/#/document/12125267/entry/150"/>
    <hyperlink ref="B105" r:id="rId5" display="https://internet.garant.ru/#/document/12125267/entry/190"/>
    <hyperlink ref="B107" r:id="rId6" display="/document/12125267/entry/200"/>
  </hyperlink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33"/>
  </sheetPr>
  <dimension ref="A1:D15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1.28125" style="1" customWidth="1"/>
    <col min="2" max="2" width="53.421875" style="1" customWidth="1"/>
    <col min="3" max="3" width="14.28125" style="1" customWidth="1"/>
    <col min="4" max="4" width="13.7109375" style="1" customWidth="1"/>
    <col min="5" max="16384" width="9.140625" style="1" customWidth="1"/>
  </cols>
  <sheetData>
    <row r="1" spans="1:4" ht="12.75">
      <c r="A1" s="325"/>
      <c r="B1" s="325"/>
      <c r="C1" s="325"/>
      <c r="D1" s="325" t="s">
        <v>442</v>
      </c>
    </row>
    <row r="2" spans="1:4" ht="12.75">
      <c r="A2" s="325"/>
      <c r="B2" s="325"/>
      <c r="C2" s="325"/>
      <c r="D2" s="325" t="s">
        <v>263</v>
      </c>
    </row>
    <row r="3" spans="1:4" ht="12.75">
      <c r="A3" s="326"/>
      <c r="B3" s="490" t="s">
        <v>991</v>
      </c>
      <c r="C3" s="490"/>
      <c r="D3" s="490"/>
    </row>
    <row r="4" spans="1:4" ht="12.75">
      <c r="A4" s="275" t="s">
        <v>895</v>
      </c>
      <c r="B4" s="275"/>
      <c r="C4" s="275"/>
      <c r="D4" s="35"/>
    </row>
    <row r="5" spans="1:4" ht="12.75">
      <c r="A5" s="36"/>
      <c r="B5" s="276"/>
      <c r="C5" s="36"/>
      <c r="D5" s="36" t="s">
        <v>726</v>
      </c>
    </row>
    <row r="6" spans="1:4" ht="33.75">
      <c r="A6" s="277" t="s">
        <v>727</v>
      </c>
      <c r="B6" s="278" t="s">
        <v>71</v>
      </c>
      <c r="C6" s="139" t="s">
        <v>156</v>
      </c>
      <c r="D6" s="139" t="s">
        <v>881</v>
      </c>
    </row>
    <row r="7" spans="1:4" ht="12.75">
      <c r="A7" s="279" t="s">
        <v>72</v>
      </c>
      <c r="B7" s="280">
        <v>2</v>
      </c>
      <c r="C7" s="138" t="s">
        <v>73</v>
      </c>
      <c r="D7" s="138" t="s">
        <v>527</v>
      </c>
    </row>
    <row r="8" spans="1:4" ht="12.75">
      <c r="A8" s="281"/>
      <c r="B8" s="282" t="s">
        <v>540</v>
      </c>
      <c r="C8" s="405">
        <f>C9+C99</f>
        <v>483356646</v>
      </c>
      <c r="D8" s="405">
        <f>D9+D99</f>
        <v>424816988</v>
      </c>
    </row>
    <row r="9" spans="1:4" ht="12.75">
      <c r="A9" s="283" t="s">
        <v>728</v>
      </c>
      <c r="B9" s="284" t="s">
        <v>729</v>
      </c>
      <c r="C9" s="137">
        <f>C10+C26+C36+C44+C49+C60+C64+C68+C72+C16</f>
        <v>171493596</v>
      </c>
      <c r="D9" s="137">
        <f>D10+D26+D36+D44+D49+D60+D64+D68+D72+D16</f>
        <v>176057376</v>
      </c>
    </row>
    <row r="10" spans="1:4" ht="12.75">
      <c r="A10" s="285" t="s">
        <v>730</v>
      </c>
      <c r="B10" s="286" t="s">
        <v>736</v>
      </c>
      <c r="C10" s="134">
        <f>C11</f>
        <v>129136923</v>
      </c>
      <c r="D10" s="134">
        <f>D11</f>
        <v>133410584</v>
      </c>
    </row>
    <row r="11" spans="1:4" ht="12.75">
      <c r="A11" s="285" t="s">
        <v>737</v>
      </c>
      <c r="B11" s="286" t="s">
        <v>738</v>
      </c>
      <c r="C11" s="134">
        <f>SUM(C12:C15)</f>
        <v>129136923</v>
      </c>
      <c r="D11" s="134">
        <f>SUM(D12:D15)</f>
        <v>133410584</v>
      </c>
    </row>
    <row r="12" spans="1:4" ht="63.75">
      <c r="A12" s="287" t="s">
        <v>739</v>
      </c>
      <c r="B12" s="274" t="s">
        <v>756</v>
      </c>
      <c r="C12" s="133">
        <v>128228924</v>
      </c>
      <c r="D12" s="133">
        <v>132490543</v>
      </c>
    </row>
    <row r="13" spans="1:4" ht="102">
      <c r="A13" s="287" t="s">
        <v>740</v>
      </c>
      <c r="B13" s="274" t="s">
        <v>769</v>
      </c>
      <c r="C13" s="133">
        <v>59635</v>
      </c>
      <c r="D13" s="133">
        <v>61617</v>
      </c>
    </row>
    <row r="14" spans="1:4" ht="38.25">
      <c r="A14" s="287" t="s">
        <v>741</v>
      </c>
      <c r="B14" s="288" t="s">
        <v>742</v>
      </c>
      <c r="C14" s="133">
        <v>305523</v>
      </c>
      <c r="D14" s="133">
        <v>296132</v>
      </c>
    </row>
    <row r="15" spans="1:4" ht="89.25">
      <c r="A15" s="287" t="s">
        <v>818</v>
      </c>
      <c r="B15" s="288" t="s">
        <v>819</v>
      </c>
      <c r="C15" s="133">
        <v>542841</v>
      </c>
      <c r="D15" s="133">
        <v>562292</v>
      </c>
    </row>
    <row r="16" spans="1:4" ht="25.5">
      <c r="A16" s="285" t="s">
        <v>743</v>
      </c>
      <c r="B16" s="286" t="s">
        <v>489</v>
      </c>
      <c r="C16" s="134">
        <f>C17</f>
        <v>2927430</v>
      </c>
      <c r="D16" s="134">
        <f>D17</f>
        <v>2999680</v>
      </c>
    </row>
    <row r="17" spans="1:4" ht="25.5">
      <c r="A17" s="287" t="s">
        <v>808</v>
      </c>
      <c r="B17" s="327" t="s">
        <v>807</v>
      </c>
      <c r="C17" s="134">
        <f>C18+C20+C22+C24</f>
        <v>2927430</v>
      </c>
      <c r="D17" s="134">
        <f>D18+D20+D22+D24</f>
        <v>2999680</v>
      </c>
    </row>
    <row r="18" spans="1:4" ht="63.75">
      <c r="A18" s="287" t="s">
        <v>490</v>
      </c>
      <c r="B18" s="328" t="s">
        <v>806</v>
      </c>
      <c r="C18" s="133">
        <f>C19</f>
        <v>1309720</v>
      </c>
      <c r="D18" s="133">
        <f>D19</f>
        <v>1320720</v>
      </c>
    </row>
    <row r="19" spans="1:4" ht="102">
      <c r="A19" s="287" t="s">
        <v>342</v>
      </c>
      <c r="B19" s="274" t="s">
        <v>445</v>
      </c>
      <c r="C19" s="133">
        <v>1309720</v>
      </c>
      <c r="D19" s="133">
        <v>1320720</v>
      </c>
    </row>
    <row r="20" spans="1:4" ht="89.25">
      <c r="A20" s="287" t="s">
        <v>491</v>
      </c>
      <c r="B20" s="274" t="s">
        <v>770</v>
      </c>
      <c r="C20" s="133">
        <f>C21</f>
        <v>7340</v>
      </c>
      <c r="D20" s="133">
        <f>D21</f>
        <v>7630</v>
      </c>
    </row>
    <row r="21" spans="1:4" ht="114.75">
      <c r="A21" s="287" t="s">
        <v>402</v>
      </c>
      <c r="B21" s="274" t="s">
        <v>446</v>
      </c>
      <c r="C21" s="133">
        <v>7340</v>
      </c>
      <c r="D21" s="133">
        <v>7630</v>
      </c>
    </row>
    <row r="22" spans="1:4" ht="63.75">
      <c r="A22" s="287" t="s">
        <v>444</v>
      </c>
      <c r="B22" s="274" t="s">
        <v>805</v>
      </c>
      <c r="C22" s="133">
        <f>C23</f>
        <v>1772660</v>
      </c>
      <c r="D22" s="133">
        <f>D23</f>
        <v>1840820</v>
      </c>
    </row>
    <row r="23" spans="1:4" ht="102">
      <c r="A23" s="287" t="s">
        <v>403</v>
      </c>
      <c r="B23" s="288" t="s">
        <v>447</v>
      </c>
      <c r="C23" s="133">
        <v>1772660</v>
      </c>
      <c r="D23" s="133">
        <v>1840820</v>
      </c>
    </row>
    <row r="24" spans="1:4" ht="63.75">
      <c r="A24" s="287" t="s">
        <v>196</v>
      </c>
      <c r="B24" s="288" t="s">
        <v>197</v>
      </c>
      <c r="C24" s="133">
        <f>C25</f>
        <v>-162290</v>
      </c>
      <c r="D24" s="133">
        <f>D25</f>
        <v>-169490</v>
      </c>
    </row>
    <row r="25" spans="1:4" ht="102">
      <c r="A25" s="287" t="s">
        <v>191</v>
      </c>
      <c r="B25" s="288" t="s">
        <v>192</v>
      </c>
      <c r="C25" s="133">
        <v>-162290</v>
      </c>
      <c r="D25" s="133">
        <v>-169490</v>
      </c>
    </row>
    <row r="26" spans="1:4" ht="12.75">
      <c r="A26" s="285" t="s">
        <v>198</v>
      </c>
      <c r="B26" s="286" t="s">
        <v>199</v>
      </c>
      <c r="C26" s="134">
        <f>C27+C32+C34</f>
        <v>8654709</v>
      </c>
      <c r="D26" s="134">
        <f>D27+D32+D34</f>
        <v>8844578</v>
      </c>
    </row>
    <row r="27" spans="1:4" ht="25.5">
      <c r="A27" s="287" t="s">
        <v>200</v>
      </c>
      <c r="B27" s="288" t="s">
        <v>201</v>
      </c>
      <c r="C27" s="135">
        <f>C28+C30</f>
        <v>1984857</v>
      </c>
      <c r="D27" s="135">
        <f>D28+D30</f>
        <v>2058297</v>
      </c>
    </row>
    <row r="28" spans="1:4" ht="25.5">
      <c r="A28" s="287" t="s">
        <v>202</v>
      </c>
      <c r="B28" s="288" t="s">
        <v>203</v>
      </c>
      <c r="C28" s="135">
        <f>C29</f>
        <v>889216</v>
      </c>
      <c r="D28" s="135">
        <f>D29</f>
        <v>922117</v>
      </c>
    </row>
    <row r="29" spans="1:4" ht="25.5">
      <c r="A29" s="287" t="s">
        <v>204</v>
      </c>
      <c r="B29" s="288" t="s">
        <v>203</v>
      </c>
      <c r="C29" s="133">
        <v>889216</v>
      </c>
      <c r="D29" s="133">
        <v>922117</v>
      </c>
    </row>
    <row r="30" spans="1:4" ht="38.25">
      <c r="A30" s="287" t="s">
        <v>205</v>
      </c>
      <c r="B30" s="288" t="s">
        <v>236</v>
      </c>
      <c r="C30" s="135">
        <f>C31</f>
        <v>1095641</v>
      </c>
      <c r="D30" s="135">
        <f>D31</f>
        <v>1136180</v>
      </c>
    </row>
    <row r="31" spans="1:4" ht="63.75">
      <c r="A31" s="287" t="s">
        <v>237</v>
      </c>
      <c r="B31" s="288" t="s">
        <v>238</v>
      </c>
      <c r="C31" s="133">
        <v>1095641</v>
      </c>
      <c r="D31" s="133">
        <v>1136180</v>
      </c>
    </row>
    <row r="32" spans="1:4" ht="12.75">
      <c r="A32" s="287" t="s">
        <v>406</v>
      </c>
      <c r="B32" s="288" t="s">
        <v>407</v>
      </c>
      <c r="C32" s="135">
        <f>SUM(C33:C33)</f>
        <v>2910724</v>
      </c>
      <c r="D32" s="135">
        <f>SUM(D33:D33)</f>
        <v>3027153</v>
      </c>
    </row>
    <row r="33" spans="1:4" ht="12.75">
      <c r="A33" s="287" t="s">
        <v>617</v>
      </c>
      <c r="B33" s="288" t="s">
        <v>618</v>
      </c>
      <c r="C33" s="133">
        <v>2910724</v>
      </c>
      <c r="D33" s="133">
        <v>3027153</v>
      </c>
    </row>
    <row r="34" spans="1:4" ht="25.5">
      <c r="A34" s="287" t="s">
        <v>547</v>
      </c>
      <c r="B34" s="288" t="s">
        <v>548</v>
      </c>
      <c r="C34" s="133">
        <f>C35</f>
        <v>3759128</v>
      </c>
      <c r="D34" s="133">
        <f>D35</f>
        <v>3759128</v>
      </c>
    </row>
    <row r="35" spans="1:4" ht="38.25">
      <c r="A35" s="287" t="s">
        <v>549</v>
      </c>
      <c r="B35" s="288" t="s">
        <v>550</v>
      </c>
      <c r="C35" s="133">
        <v>3759128</v>
      </c>
      <c r="D35" s="133">
        <v>3759128</v>
      </c>
    </row>
    <row r="36" spans="1:4" ht="12.75">
      <c r="A36" s="285" t="s">
        <v>619</v>
      </c>
      <c r="B36" s="286" t="s">
        <v>620</v>
      </c>
      <c r="C36" s="134">
        <f>C37+C39</f>
        <v>15122855</v>
      </c>
      <c r="D36" s="134">
        <f>D37+D39</f>
        <v>15122855</v>
      </c>
    </row>
    <row r="37" spans="1:4" ht="12.75">
      <c r="A37" s="287" t="s">
        <v>621</v>
      </c>
      <c r="B37" s="288" t="s">
        <v>622</v>
      </c>
      <c r="C37" s="135">
        <f>C38</f>
        <v>4584028</v>
      </c>
      <c r="D37" s="135">
        <f>D38</f>
        <v>4584028</v>
      </c>
    </row>
    <row r="38" spans="1:4" ht="38.25">
      <c r="A38" s="287" t="s">
        <v>623</v>
      </c>
      <c r="B38" s="288" t="s">
        <v>415</v>
      </c>
      <c r="C38" s="133">
        <v>4584028</v>
      </c>
      <c r="D38" s="133">
        <v>4584028</v>
      </c>
    </row>
    <row r="39" spans="1:4" ht="12.75">
      <c r="A39" s="287" t="s">
        <v>416</v>
      </c>
      <c r="B39" s="288" t="s">
        <v>417</v>
      </c>
      <c r="C39" s="136">
        <f>C40+C42</f>
        <v>10538827</v>
      </c>
      <c r="D39" s="136">
        <f>D40+D42</f>
        <v>10538827</v>
      </c>
    </row>
    <row r="40" spans="1:4" ht="12.75">
      <c r="A40" s="287" t="s">
        <v>418</v>
      </c>
      <c r="B40" s="288" t="s">
        <v>419</v>
      </c>
      <c r="C40" s="135">
        <f>C41</f>
        <v>7259355</v>
      </c>
      <c r="D40" s="135">
        <f>D41</f>
        <v>7259355</v>
      </c>
    </row>
    <row r="41" spans="1:4" ht="25.5">
      <c r="A41" s="287" t="s">
        <v>420</v>
      </c>
      <c r="B41" s="288" t="s">
        <v>421</v>
      </c>
      <c r="C41" s="133">
        <v>7259355</v>
      </c>
      <c r="D41" s="133">
        <v>7259355</v>
      </c>
    </row>
    <row r="42" spans="1:4" ht="12.75">
      <c r="A42" s="287" t="s">
        <v>422</v>
      </c>
      <c r="B42" s="288" t="s">
        <v>423</v>
      </c>
      <c r="C42" s="135">
        <f>C43</f>
        <v>3279472</v>
      </c>
      <c r="D42" s="135">
        <f>D43</f>
        <v>3279472</v>
      </c>
    </row>
    <row r="43" spans="1:4" ht="38.25">
      <c r="A43" s="287" t="s">
        <v>424</v>
      </c>
      <c r="B43" s="288" t="s">
        <v>425</v>
      </c>
      <c r="C43" s="133">
        <v>3279472</v>
      </c>
      <c r="D43" s="133">
        <v>3279472</v>
      </c>
    </row>
    <row r="44" spans="1:4" ht="12.75">
      <c r="A44" s="285" t="s">
        <v>426</v>
      </c>
      <c r="B44" s="286" t="s">
        <v>427</v>
      </c>
      <c r="C44" s="134">
        <f>C45+C47</f>
        <v>4156286</v>
      </c>
      <c r="D44" s="134">
        <f>D45+D47</f>
        <v>4156286</v>
      </c>
    </row>
    <row r="45" spans="1:4" ht="25.5">
      <c r="A45" s="287" t="s">
        <v>428</v>
      </c>
      <c r="B45" s="288" t="s">
        <v>429</v>
      </c>
      <c r="C45" s="135">
        <f>C46</f>
        <v>4146286</v>
      </c>
      <c r="D45" s="135">
        <f>D46</f>
        <v>4146286</v>
      </c>
    </row>
    <row r="46" spans="1:4" ht="38.25">
      <c r="A46" s="287" t="s">
        <v>430</v>
      </c>
      <c r="B46" s="288" t="s">
        <v>431</v>
      </c>
      <c r="C46" s="133">
        <v>4146286</v>
      </c>
      <c r="D46" s="133">
        <v>4146286</v>
      </c>
    </row>
    <row r="47" spans="1:4" ht="38.25">
      <c r="A47" s="287" t="s">
        <v>820</v>
      </c>
      <c r="B47" s="288" t="s">
        <v>821</v>
      </c>
      <c r="C47" s="133">
        <f>C48</f>
        <v>10000</v>
      </c>
      <c r="D47" s="133">
        <f>D48</f>
        <v>10000</v>
      </c>
    </row>
    <row r="48" spans="1:4" ht="25.5">
      <c r="A48" s="287" t="s">
        <v>158</v>
      </c>
      <c r="B48" s="288" t="s">
        <v>159</v>
      </c>
      <c r="C48" s="133">
        <v>10000</v>
      </c>
      <c r="D48" s="133">
        <v>10000</v>
      </c>
    </row>
    <row r="49" spans="1:4" ht="38.25">
      <c r="A49" s="285" t="s">
        <v>432</v>
      </c>
      <c r="B49" s="286" t="s">
        <v>433</v>
      </c>
      <c r="C49" s="134">
        <f>C50+C55+C57</f>
        <v>3412571</v>
      </c>
      <c r="D49" s="134">
        <f>D50+D55+D57</f>
        <v>3440571</v>
      </c>
    </row>
    <row r="50" spans="1:4" ht="76.5">
      <c r="A50" s="287" t="s">
        <v>434</v>
      </c>
      <c r="B50" s="274" t="s">
        <v>771</v>
      </c>
      <c r="C50" s="135">
        <f>C51+C53</f>
        <v>2052571</v>
      </c>
      <c r="D50" s="135">
        <f>D51+D53</f>
        <v>2052571</v>
      </c>
    </row>
    <row r="51" spans="1:4" ht="63.75">
      <c r="A51" s="287" t="s">
        <v>435</v>
      </c>
      <c r="B51" s="288" t="s">
        <v>276</v>
      </c>
      <c r="C51" s="135">
        <f>C52</f>
        <v>942558</v>
      </c>
      <c r="D51" s="135">
        <f>D52</f>
        <v>942558</v>
      </c>
    </row>
    <row r="52" spans="1:4" ht="76.5">
      <c r="A52" s="287" t="s">
        <v>599</v>
      </c>
      <c r="B52" s="288" t="s">
        <v>408</v>
      </c>
      <c r="C52" s="133">
        <v>942558</v>
      </c>
      <c r="D52" s="133">
        <v>942558</v>
      </c>
    </row>
    <row r="53" spans="1:4" ht="38.25">
      <c r="A53" s="287" t="s">
        <v>600</v>
      </c>
      <c r="B53" s="288" t="s">
        <v>378</v>
      </c>
      <c r="C53" s="135">
        <f>C54</f>
        <v>1110013</v>
      </c>
      <c r="D53" s="135">
        <f>D54</f>
        <v>1110013</v>
      </c>
    </row>
    <row r="54" spans="1:4" ht="38.25">
      <c r="A54" s="287" t="s">
        <v>379</v>
      </c>
      <c r="B54" s="288" t="s">
        <v>440</v>
      </c>
      <c r="C54" s="133">
        <f>1110013</f>
        <v>1110013</v>
      </c>
      <c r="D54" s="133">
        <f>1110013</f>
        <v>1110013</v>
      </c>
    </row>
    <row r="55" spans="1:4" ht="25.5">
      <c r="A55" s="287" t="s">
        <v>441</v>
      </c>
      <c r="B55" s="288" t="s">
        <v>655</v>
      </c>
      <c r="C55" s="135">
        <f>C56</f>
        <v>187500</v>
      </c>
      <c r="D55" s="135">
        <f>D56</f>
        <v>187500</v>
      </c>
    </row>
    <row r="56" spans="1:4" ht="51">
      <c r="A56" s="287" t="s">
        <v>656</v>
      </c>
      <c r="B56" s="288" t="s">
        <v>657</v>
      </c>
      <c r="C56" s="133">
        <v>187500</v>
      </c>
      <c r="D56" s="133">
        <v>187500</v>
      </c>
    </row>
    <row r="57" spans="1:4" ht="76.5">
      <c r="A57" s="287" t="s">
        <v>658</v>
      </c>
      <c r="B57" s="274" t="s">
        <v>355</v>
      </c>
      <c r="C57" s="135">
        <f>C58</f>
        <v>1172500</v>
      </c>
      <c r="D57" s="135">
        <f>D58</f>
        <v>1200500</v>
      </c>
    </row>
    <row r="58" spans="1:4" ht="76.5">
      <c r="A58" s="287" t="s">
        <v>659</v>
      </c>
      <c r="B58" s="274" t="s">
        <v>356</v>
      </c>
      <c r="C58" s="135">
        <f>C59</f>
        <v>1172500</v>
      </c>
      <c r="D58" s="135">
        <f>D59</f>
        <v>1200500</v>
      </c>
    </row>
    <row r="59" spans="1:4" ht="76.5">
      <c r="A59" s="287" t="s">
        <v>660</v>
      </c>
      <c r="B59" s="288" t="s">
        <v>661</v>
      </c>
      <c r="C59" s="133">
        <f>1360000-187500</f>
        <v>1172500</v>
      </c>
      <c r="D59" s="133">
        <f>1388000-187500</f>
        <v>1200500</v>
      </c>
    </row>
    <row r="60" spans="1:4" ht="25.5">
      <c r="A60" s="285" t="s">
        <v>662</v>
      </c>
      <c r="B60" s="286" t="s">
        <v>663</v>
      </c>
      <c r="C60" s="134">
        <f>C61</f>
        <v>43300</v>
      </c>
      <c r="D60" s="134">
        <f>D61</f>
        <v>43300</v>
      </c>
    </row>
    <row r="61" spans="1:4" ht="12.75">
      <c r="A61" s="287" t="s">
        <v>664</v>
      </c>
      <c r="B61" s="37" t="s">
        <v>665</v>
      </c>
      <c r="C61" s="135">
        <f>SUM(C62:C63)</f>
        <v>43300</v>
      </c>
      <c r="D61" s="135">
        <f>SUM(D62:D63)</f>
        <v>43300</v>
      </c>
    </row>
    <row r="62" spans="1:4" ht="25.5">
      <c r="A62" s="287" t="s">
        <v>666</v>
      </c>
      <c r="B62" s="37" t="s">
        <v>611</v>
      </c>
      <c r="C62" s="133">
        <v>40000</v>
      </c>
      <c r="D62" s="133">
        <v>40000</v>
      </c>
    </row>
    <row r="63" spans="1:4" ht="25.5">
      <c r="A63" s="287" t="s">
        <v>612</v>
      </c>
      <c r="B63" s="37" t="s">
        <v>613</v>
      </c>
      <c r="C63" s="133">
        <v>3300</v>
      </c>
      <c r="D63" s="133">
        <v>3300</v>
      </c>
    </row>
    <row r="64" spans="1:4" ht="25.5">
      <c r="A64" s="285" t="s">
        <v>614</v>
      </c>
      <c r="B64" s="286" t="s">
        <v>572</v>
      </c>
      <c r="C64" s="134">
        <f>C66</f>
        <v>7382304</v>
      </c>
      <c r="D64" s="134">
        <f>D66</f>
        <v>7382304</v>
      </c>
    </row>
    <row r="65" spans="1:4" ht="12.75">
      <c r="A65" s="287" t="s">
        <v>804</v>
      </c>
      <c r="B65" s="1" t="s">
        <v>803</v>
      </c>
      <c r="C65" s="134"/>
      <c r="D65" s="134"/>
    </row>
    <row r="66" spans="1:4" ht="12.75">
      <c r="A66" s="287" t="s">
        <v>615</v>
      </c>
      <c r="B66" s="1" t="s">
        <v>826</v>
      </c>
      <c r="C66" s="135">
        <f>C67</f>
        <v>7382304</v>
      </c>
      <c r="D66" s="135">
        <f>D67</f>
        <v>7382304</v>
      </c>
    </row>
    <row r="67" spans="1:4" ht="25.5">
      <c r="A67" s="287" t="s">
        <v>206</v>
      </c>
      <c r="B67" s="37" t="s">
        <v>616</v>
      </c>
      <c r="C67" s="133">
        <v>7382304</v>
      </c>
      <c r="D67" s="133">
        <v>7382304</v>
      </c>
    </row>
    <row r="68" spans="1:4" ht="25.5">
      <c r="A68" s="285" t="s">
        <v>207</v>
      </c>
      <c r="B68" s="286" t="s">
        <v>208</v>
      </c>
      <c r="C68" s="134">
        <f aca="true" t="shared" si="0" ref="C68:D70">C69</f>
        <v>300000</v>
      </c>
      <c r="D68" s="134">
        <f t="shared" si="0"/>
        <v>300000</v>
      </c>
    </row>
    <row r="69" spans="1:4" ht="25.5">
      <c r="A69" s="287" t="s">
        <v>209</v>
      </c>
      <c r="B69" s="37" t="s">
        <v>210</v>
      </c>
      <c r="C69" s="135">
        <f t="shared" si="0"/>
        <v>300000</v>
      </c>
      <c r="D69" s="135">
        <f t="shared" si="0"/>
        <v>300000</v>
      </c>
    </row>
    <row r="70" spans="1:4" ht="25.5">
      <c r="A70" s="287" t="s">
        <v>211</v>
      </c>
      <c r="B70" s="37" t="s">
        <v>212</v>
      </c>
      <c r="C70" s="135">
        <f t="shared" si="0"/>
        <v>300000</v>
      </c>
      <c r="D70" s="135">
        <f t="shared" si="0"/>
        <v>300000</v>
      </c>
    </row>
    <row r="71" spans="1:4" ht="38.25">
      <c r="A71" s="287" t="s">
        <v>213</v>
      </c>
      <c r="B71" s="37" t="s">
        <v>175</v>
      </c>
      <c r="C71" s="133">
        <v>300000</v>
      </c>
      <c r="D71" s="133">
        <v>300000</v>
      </c>
    </row>
    <row r="72" spans="1:4" ht="12.75">
      <c r="A72" s="329" t="s">
        <v>176</v>
      </c>
      <c r="B72" s="330" t="s">
        <v>335</v>
      </c>
      <c r="C72" s="134">
        <f>C73+C75+C77+C79+C81+C83+C85+C87+C89+C91+C94+C97</f>
        <v>357218</v>
      </c>
      <c r="D72" s="134">
        <f>D73+D75+D77+D79+D81+D83+D85+D87+D89+D91+D94+D97</f>
        <v>357218</v>
      </c>
    </row>
    <row r="73" spans="1:4" ht="51">
      <c r="A73" s="98" t="s">
        <v>802</v>
      </c>
      <c r="B73" s="331" t="s">
        <v>801</v>
      </c>
      <c r="C73" s="133">
        <f>C74</f>
        <v>6400</v>
      </c>
      <c r="D73" s="133">
        <f>D74</f>
        <v>6400</v>
      </c>
    </row>
    <row r="74" spans="1:4" ht="76.5">
      <c r="A74" s="98" t="s">
        <v>674</v>
      </c>
      <c r="B74" s="290" t="s">
        <v>675</v>
      </c>
      <c r="C74" s="133">
        <v>6400</v>
      </c>
      <c r="D74" s="133">
        <v>6400</v>
      </c>
    </row>
    <row r="75" spans="1:4" ht="63.75">
      <c r="A75" s="98" t="s">
        <v>800</v>
      </c>
      <c r="B75" s="332" t="s">
        <v>799</v>
      </c>
      <c r="C75" s="133">
        <f>C76</f>
        <v>28463</v>
      </c>
      <c r="D75" s="133">
        <f>D76</f>
        <v>28463</v>
      </c>
    </row>
    <row r="76" spans="1:4" ht="89.25">
      <c r="A76" s="98" t="s">
        <v>676</v>
      </c>
      <c r="B76" s="290" t="s">
        <v>677</v>
      </c>
      <c r="C76" s="133">
        <v>28463</v>
      </c>
      <c r="D76" s="133">
        <v>28463</v>
      </c>
    </row>
    <row r="77" spans="1:4" ht="63.75">
      <c r="A77" s="98" t="s">
        <v>832</v>
      </c>
      <c r="B77" s="290" t="s">
        <v>833</v>
      </c>
      <c r="C77" s="131">
        <f>C78</f>
        <v>2510</v>
      </c>
      <c r="D77" s="131">
        <f>D78</f>
        <v>2510</v>
      </c>
    </row>
    <row r="78" spans="1:4" ht="89.25">
      <c r="A78" s="98" t="s">
        <v>834</v>
      </c>
      <c r="B78" s="290" t="s">
        <v>835</v>
      </c>
      <c r="C78" s="131">
        <v>2510</v>
      </c>
      <c r="D78" s="131">
        <v>2510</v>
      </c>
    </row>
    <row r="79" spans="1:4" ht="51">
      <c r="A79" s="98" t="s">
        <v>836</v>
      </c>
      <c r="B79" s="290" t="s">
        <v>837</v>
      </c>
      <c r="C79" s="131">
        <f>C80</f>
        <v>1500</v>
      </c>
      <c r="D79" s="131">
        <f>D80</f>
        <v>1500</v>
      </c>
    </row>
    <row r="80" spans="1:4" ht="76.5">
      <c r="A80" s="98" t="s">
        <v>838</v>
      </c>
      <c r="B80" s="290" t="s">
        <v>839</v>
      </c>
      <c r="C80" s="131">
        <v>1500</v>
      </c>
      <c r="D80" s="131">
        <v>1500</v>
      </c>
    </row>
    <row r="81" spans="1:4" ht="51">
      <c r="A81" s="98" t="s">
        <v>840</v>
      </c>
      <c r="B81" s="290" t="s">
        <v>841</v>
      </c>
      <c r="C81" s="131">
        <f>C82</f>
        <v>6000</v>
      </c>
      <c r="D81" s="131">
        <f>D82</f>
        <v>6000</v>
      </c>
    </row>
    <row r="82" spans="1:4" ht="76.5">
      <c r="A82" s="98" t="s">
        <v>842</v>
      </c>
      <c r="B82" s="290" t="s">
        <v>843</v>
      </c>
      <c r="C82" s="131">
        <v>6000</v>
      </c>
      <c r="D82" s="131">
        <v>6000</v>
      </c>
    </row>
    <row r="83" spans="1:4" ht="63.75">
      <c r="A83" s="98" t="s">
        <v>798</v>
      </c>
      <c r="B83" s="331" t="s">
        <v>797</v>
      </c>
      <c r="C83" s="131">
        <f>C84</f>
        <v>15500</v>
      </c>
      <c r="D83" s="131">
        <f>D84</f>
        <v>15500</v>
      </c>
    </row>
    <row r="84" spans="1:4" ht="89.25">
      <c r="A84" s="98" t="s">
        <v>667</v>
      </c>
      <c r="B84" s="292" t="s">
        <v>668</v>
      </c>
      <c r="C84" s="129">
        <v>15500</v>
      </c>
      <c r="D84" s="129">
        <v>15500</v>
      </c>
    </row>
    <row r="85" spans="1:4" ht="63.75">
      <c r="A85" s="98" t="s">
        <v>796</v>
      </c>
      <c r="B85" s="332" t="s">
        <v>795</v>
      </c>
      <c r="C85" s="129">
        <f>C86</f>
        <v>16700</v>
      </c>
      <c r="D85" s="129">
        <f>D86</f>
        <v>16700</v>
      </c>
    </row>
    <row r="86" spans="1:4" ht="102">
      <c r="A86" s="98" t="s">
        <v>669</v>
      </c>
      <c r="B86" s="291" t="s">
        <v>670</v>
      </c>
      <c r="C86" s="132">
        <v>16700</v>
      </c>
      <c r="D86" s="132">
        <v>16700</v>
      </c>
    </row>
    <row r="87" spans="1:4" ht="51">
      <c r="A87" s="98" t="s">
        <v>794</v>
      </c>
      <c r="B87" s="332" t="s">
        <v>793</v>
      </c>
      <c r="C87" s="132">
        <f>C88</f>
        <v>22500</v>
      </c>
      <c r="D87" s="132">
        <f>D88</f>
        <v>22500</v>
      </c>
    </row>
    <row r="88" spans="1:4" ht="76.5">
      <c r="A88" s="98" t="s">
        <v>671</v>
      </c>
      <c r="B88" s="290" t="s">
        <v>672</v>
      </c>
      <c r="C88" s="131">
        <v>22500</v>
      </c>
      <c r="D88" s="131">
        <v>22500</v>
      </c>
    </row>
    <row r="89" spans="1:4" ht="63.75">
      <c r="A89" s="98" t="s">
        <v>792</v>
      </c>
      <c r="B89" s="331" t="s">
        <v>791</v>
      </c>
      <c r="C89" s="129">
        <f>C90</f>
        <v>151621</v>
      </c>
      <c r="D89" s="129">
        <f>D90</f>
        <v>151621</v>
      </c>
    </row>
    <row r="90" spans="1:4" ht="89.25">
      <c r="A90" s="98" t="s">
        <v>679</v>
      </c>
      <c r="B90" s="333" t="s">
        <v>680</v>
      </c>
      <c r="C90" s="130">
        <f>119994+31627</f>
        <v>151621</v>
      </c>
      <c r="D90" s="130">
        <f>119994+31627</f>
        <v>151621</v>
      </c>
    </row>
    <row r="91" spans="1:4" ht="102">
      <c r="A91" s="98" t="s">
        <v>939</v>
      </c>
      <c r="B91" s="334" t="s">
        <v>790</v>
      </c>
      <c r="C91" s="129">
        <f>C92</f>
        <v>40000</v>
      </c>
      <c r="D91" s="129">
        <f>D92</f>
        <v>40000</v>
      </c>
    </row>
    <row r="92" spans="1:4" ht="76.5">
      <c r="A92" s="98" t="s">
        <v>789</v>
      </c>
      <c r="B92" s="65" t="s">
        <v>788</v>
      </c>
      <c r="C92" s="129">
        <f>C93</f>
        <v>40000</v>
      </c>
      <c r="D92" s="129">
        <f>D93</f>
        <v>40000</v>
      </c>
    </row>
    <row r="93" spans="1:4" ht="76.5">
      <c r="A93" s="98" t="s">
        <v>339</v>
      </c>
      <c r="B93" s="291" t="s">
        <v>340</v>
      </c>
      <c r="C93" s="130">
        <v>40000</v>
      </c>
      <c r="D93" s="130">
        <v>40000</v>
      </c>
    </row>
    <row r="94" spans="1:4" ht="63.75" hidden="1">
      <c r="A94" s="98" t="s">
        <v>844</v>
      </c>
      <c r="B94" s="291" t="s">
        <v>845</v>
      </c>
      <c r="C94" s="129">
        <f>C95+C96</f>
        <v>0</v>
      </c>
      <c r="D94" s="129">
        <f>D95+D96</f>
        <v>0</v>
      </c>
    </row>
    <row r="95" spans="1:4" ht="63.75" hidden="1">
      <c r="A95" s="98" t="s">
        <v>673</v>
      </c>
      <c r="B95" s="291" t="s">
        <v>846</v>
      </c>
      <c r="C95" s="129"/>
      <c r="D95" s="129"/>
    </row>
    <row r="96" spans="1:4" ht="63.75" hidden="1">
      <c r="A96" s="98" t="s">
        <v>678</v>
      </c>
      <c r="B96" s="291" t="s">
        <v>847</v>
      </c>
      <c r="C96" s="129"/>
      <c r="D96" s="129"/>
    </row>
    <row r="97" spans="1:4" ht="12.75">
      <c r="A97" s="98" t="s">
        <v>848</v>
      </c>
      <c r="B97" s="291" t="s">
        <v>849</v>
      </c>
      <c r="C97" s="129">
        <f>C98</f>
        <v>66024</v>
      </c>
      <c r="D97" s="129">
        <f>D98</f>
        <v>66024</v>
      </c>
    </row>
    <row r="98" spans="1:4" ht="102">
      <c r="A98" s="98" t="s">
        <v>850</v>
      </c>
      <c r="B98" s="291" t="s">
        <v>851</v>
      </c>
      <c r="C98" s="428">
        <v>66024</v>
      </c>
      <c r="D98" s="428">
        <v>66024</v>
      </c>
    </row>
    <row r="99" spans="1:4" ht="12.75">
      <c r="A99" s="293" t="s">
        <v>393</v>
      </c>
      <c r="B99" s="29" t="s">
        <v>360</v>
      </c>
      <c r="C99" s="40">
        <f>C100</f>
        <v>311863050</v>
      </c>
      <c r="D99" s="40">
        <f>D100</f>
        <v>248759612</v>
      </c>
    </row>
    <row r="100" spans="1:4" ht="25.5">
      <c r="A100" s="294" t="s">
        <v>394</v>
      </c>
      <c r="B100" s="30" t="s">
        <v>346</v>
      </c>
      <c r="C100" s="41">
        <f>C101+C104+C122</f>
        <v>311863050</v>
      </c>
      <c r="D100" s="41">
        <f>D101+D104+D122</f>
        <v>248759612</v>
      </c>
    </row>
    <row r="101" spans="1:4" ht="30.75" customHeight="1">
      <c r="A101" s="294" t="s">
        <v>381</v>
      </c>
      <c r="B101" s="65" t="s">
        <v>409</v>
      </c>
      <c r="C101" s="41">
        <f>C102</f>
        <v>583058</v>
      </c>
      <c r="D101" s="41">
        <f>D102</f>
        <v>1159405</v>
      </c>
    </row>
    <row r="102" spans="1:4" ht="12.75">
      <c r="A102" s="31" t="s">
        <v>382</v>
      </c>
      <c r="B102" s="13" t="s">
        <v>501</v>
      </c>
      <c r="C102" s="42">
        <f>C103</f>
        <v>583058</v>
      </c>
      <c r="D102" s="42">
        <f>D103</f>
        <v>1159405</v>
      </c>
    </row>
    <row r="103" spans="1:4" ht="38.25">
      <c r="A103" s="31" t="s">
        <v>383</v>
      </c>
      <c r="B103" s="63" t="s">
        <v>502</v>
      </c>
      <c r="C103" s="43">
        <v>583058</v>
      </c>
      <c r="D103" s="43">
        <v>1159405</v>
      </c>
    </row>
    <row r="104" spans="1:4" ht="25.5">
      <c r="A104" s="295" t="s">
        <v>570</v>
      </c>
      <c r="B104" s="395" t="s">
        <v>410</v>
      </c>
      <c r="C104" s="41">
        <f>C105+C107+C119+C111+C113+C109+C115+C117</f>
        <v>75964414</v>
      </c>
      <c r="D104" s="41">
        <f>D105+D107+D119+D111+D113+D109+D115+D117</f>
        <v>11404200</v>
      </c>
    </row>
    <row r="105" spans="1:4" ht="102" hidden="1">
      <c r="A105" s="98" t="s">
        <v>610</v>
      </c>
      <c r="B105" s="99" t="s">
        <v>349</v>
      </c>
      <c r="C105" s="43">
        <f>C106</f>
        <v>0</v>
      </c>
      <c r="D105" s="43"/>
    </row>
    <row r="106" spans="1:4" ht="102" hidden="1">
      <c r="A106" s="289" t="s">
        <v>608</v>
      </c>
      <c r="B106" s="291" t="s">
        <v>609</v>
      </c>
      <c r="C106" s="43"/>
      <c r="D106" s="43"/>
    </row>
    <row r="107" spans="1:4" ht="76.5" hidden="1">
      <c r="A107" s="98" t="s">
        <v>350</v>
      </c>
      <c r="B107" s="291" t="s">
        <v>351</v>
      </c>
      <c r="C107" s="43">
        <f>C108</f>
        <v>0</v>
      </c>
      <c r="D107" s="43"/>
    </row>
    <row r="108" spans="1:4" ht="76.5" hidden="1">
      <c r="A108" s="98" t="s">
        <v>414</v>
      </c>
      <c r="B108" s="291" t="s">
        <v>413</v>
      </c>
      <c r="C108" s="43"/>
      <c r="D108" s="43"/>
    </row>
    <row r="109" spans="1:4" ht="51">
      <c r="A109" s="98" t="s">
        <v>133</v>
      </c>
      <c r="B109" s="290" t="s">
        <v>134</v>
      </c>
      <c r="C109" s="43">
        <f>C110</f>
        <v>5340746</v>
      </c>
      <c r="D109" s="43">
        <f>D110</f>
        <v>5501947</v>
      </c>
    </row>
    <row r="110" spans="1:4" ht="51">
      <c r="A110" s="98" t="s">
        <v>135</v>
      </c>
      <c r="B110" s="290" t="s">
        <v>136</v>
      </c>
      <c r="C110" s="43">
        <f>694297+4646449</f>
        <v>5340746</v>
      </c>
      <c r="D110" s="43">
        <f>715253+4786694</f>
        <v>5501947</v>
      </c>
    </row>
    <row r="111" spans="1:4" ht="63.75" hidden="1">
      <c r="A111" s="98" t="s">
        <v>144</v>
      </c>
      <c r="B111" s="291" t="s">
        <v>935</v>
      </c>
      <c r="C111" s="43">
        <f>C112</f>
        <v>0</v>
      </c>
      <c r="D111" s="43">
        <f>D112</f>
        <v>0</v>
      </c>
    </row>
    <row r="112" spans="1:4" ht="63.75" hidden="1">
      <c r="A112" s="98" t="s">
        <v>145</v>
      </c>
      <c r="B112" s="291" t="s">
        <v>936</v>
      </c>
      <c r="C112" s="43"/>
      <c r="D112" s="43"/>
    </row>
    <row r="113" spans="1:4" ht="38.25" hidden="1">
      <c r="A113" s="98" t="s">
        <v>146</v>
      </c>
      <c r="B113" s="291" t="s">
        <v>937</v>
      </c>
      <c r="C113" s="43">
        <f>C114</f>
        <v>0</v>
      </c>
      <c r="D113" s="43">
        <f>D114</f>
        <v>0</v>
      </c>
    </row>
    <row r="114" spans="1:4" ht="38.25" hidden="1">
      <c r="A114" s="98" t="s">
        <v>147</v>
      </c>
      <c r="B114" s="291" t="s">
        <v>938</v>
      </c>
      <c r="C114" s="43"/>
      <c r="D114" s="43"/>
    </row>
    <row r="115" spans="1:4" ht="25.5">
      <c r="A115" s="289" t="s">
        <v>187</v>
      </c>
      <c r="B115" s="291" t="s">
        <v>188</v>
      </c>
      <c r="C115" s="43">
        <f>C116</f>
        <v>5028887</v>
      </c>
      <c r="D115" s="43">
        <f>D116</f>
        <v>5584188</v>
      </c>
    </row>
    <row r="116" spans="1:4" ht="25.5">
      <c r="A116" s="289" t="s">
        <v>190</v>
      </c>
      <c r="B116" s="291" t="s">
        <v>189</v>
      </c>
      <c r="C116" s="43">
        <v>5028887</v>
      </c>
      <c r="D116" s="43">
        <v>5584188</v>
      </c>
    </row>
    <row r="117" spans="1:4" ht="25.5">
      <c r="A117" s="289" t="s">
        <v>983</v>
      </c>
      <c r="B117" s="291" t="s">
        <v>984</v>
      </c>
      <c r="C117" s="43">
        <f>C118</f>
        <v>64597350</v>
      </c>
      <c r="D117" s="43">
        <f>D118</f>
        <v>0</v>
      </c>
    </row>
    <row r="118" spans="1:4" ht="38.25">
      <c r="A118" s="289" t="s">
        <v>985</v>
      </c>
      <c r="B118" s="291" t="s">
        <v>986</v>
      </c>
      <c r="C118" s="43">
        <f>62490809+2106541</f>
        <v>64597350</v>
      </c>
      <c r="D118" s="43"/>
    </row>
    <row r="119" spans="1:4" ht="12.75">
      <c r="A119" s="296" t="s">
        <v>571</v>
      </c>
      <c r="B119" s="297" t="s">
        <v>224</v>
      </c>
      <c r="C119" s="43">
        <f>C121+C120</f>
        <v>997431</v>
      </c>
      <c r="D119" s="43">
        <f>D121</f>
        <v>318065</v>
      </c>
    </row>
    <row r="120" spans="1:4" ht="41.25" customHeight="1">
      <c r="A120" s="296" t="s">
        <v>571</v>
      </c>
      <c r="B120" s="297" t="s">
        <v>926</v>
      </c>
      <c r="C120" s="43">
        <v>679366</v>
      </c>
      <c r="D120" s="43"/>
    </row>
    <row r="121" spans="1:4" ht="76.5">
      <c r="A121" s="296" t="s">
        <v>571</v>
      </c>
      <c r="B121" s="47" t="s">
        <v>225</v>
      </c>
      <c r="C121" s="43">
        <f>318065</f>
        <v>318065</v>
      </c>
      <c r="D121" s="43">
        <v>318065</v>
      </c>
    </row>
    <row r="122" spans="1:4" ht="25.5">
      <c r="A122" s="298" t="s">
        <v>384</v>
      </c>
      <c r="B122" s="65" t="s">
        <v>411</v>
      </c>
      <c r="C122" s="41">
        <f>C123+C125+C129+C131+C133+C127</f>
        <v>235315578</v>
      </c>
      <c r="D122" s="41">
        <f>D123+D125+D129+D131+D133+D127</f>
        <v>236196007</v>
      </c>
    </row>
    <row r="123" spans="1:4" ht="51">
      <c r="A123" s="299" t="s">
        <v>385</v>
      </c>
      <c r="B123" s="13" t="s">
        <v>161</v>
      </c>
      <c r="C123" s="42">
        <f>C124</f>
        <v>125083</v>
      </c>
      <c r="D123" s="42">
        <f>D124</f>
        <v>125083</v>
      </c>
    </row>
    <row r="124" spans="1:4" ht="38.25">
      <c r="A124" s="299" t="s">
        <v>386</v>
      </c>
      <c r="B124" s="13" t="s">
        <v>288</v>
      </c>
      <c r="C124" s="43">
        <v>125083</v>
      </c>
      <c r="D124" s="43">
        <v>125083</v>
      </c>
    </row>
    <row r="125" spans="1:4" ht="51">
      <c r="A125" s="299" t="s">
        <v>387</v>
      </c>
      <c r="B125" s="13" t="s">
        <v>361</v>
      </c>
      <c r="C125" s="42">
        <f>C126</f>
        <v>6119254</v>
      </c>
      <c r="D125" s="42">
        <f>D126</f>
        <v>6326257</v>
      </c>
    </row>
    <row r="126" spans="1:4" ht="38.25">
      <c r="A126" s="299" t="s">
        <v>388</v>
      </c>
      <c r="B126" s="13" t="s">
        <v>362</v>
      </c>
      <c r="C126" s="43">
        <v>6119254</v>
      </c>
      <c r="D126" s="43">
        <v>6326257</v>
      </c>
    </row>
    <row r="127" spans="1:4" ht="63.75">
      <c r="A127" s="357" t="s">
        <v>877</v>
      </c>
      <c r="B127" s="63" t="s">
        <v>879</v>
      </c>
      <c r="C127" s="43">
        <f>C128</f>
        <v>4228092</v>
      </c>
      <c r="D127" s="43">
        <f>D128</f>
        <v>2114046</v>
      </c>
    </row>
    <row r="128" spans="1:4" ht="63.75">
      <c r="A128" s="357" t="s">
        <v>878</v>
      </c>
      <c r="B128" s="63" t="s">
        <v>880</v>
      </c>
      <c r="C128" s="43">
        <v>4228092</v>
      </c>
      <c r="D128" s="43">
        <v>2114046</v>
      </c>
    </row>
    <row r="129" spans="1:4" ht="38.25">
      <c r="A129" s="299" t="s">
        <v>496</v>
      </c>
      <c r="B129" s="13" t="s">
        <v>497</v>
      </c>
      <c r="C129" s="43">
        <f>C130</f>
        <v>44608300</v>
      </c>
      <c r="D129" s="43">
        <f>D130</f>
        <v>47416182</v>
      </c>
    </row>
    <row r="130" spans="1:4" ht="38.25">
      <c r="A130" s="299" t="s">
        <v>498</v>
      </c>
      <c r="B130" s="13" t="s">
        <v>499</v>
      </c>
      <c r="C130" s="43">
        <f>5799079+38809221</f>
        <v>44608300</v>
      </c>
      <c r="D130" s="43">
        <f>6164104+41252078</f>
        <v>47416182</v>
      </c>
    </row>
    <row r="131" spans="1:4" ht="51.75">
      <c r="A131" s="300" t="s">
        <v>772</v>
      </c>
      <c r="B131" s="291" t="s">
        <v>773</v>
      </c>
      <c r="C131" s="43">
        <f>C132</f>
        <v>6498637</v>
      </c>
      <c r="D131" s="43">
        <f>D132</f>
        <v>6438638</v>
      </c>
    </row>
    <row r="132" spans="1:4" ht="51.75">
      <c r="A132" s="301" t="s">
        <v>774</v>
      </c>
      <c r="B132" s="291" t="s">
        <v>155</v>
      </c>
      <c r="C132" s="482">
        <v>6498637</v>
      </c>
      <c r="D132" s="482">
        <v>6438638</v>
      </c>
    </row>
    <row r="133" spans="1:4" ht="12.75">
      <c r="A133" s="299" t="s">
        <v>412</v>
      </c>
      <c r="B133" s="32" t="s">
        <v>363</v>
      </c>
      <c r="C133" s="42">
        <f>C134</f>
        <v>173736212</v>
      </c>
      <c r="D133" s="42">
        <f>D134</f>
        <v>173775801</v>
      </c>
    </row>
    <row r="134" spans="1:4" ht="12.75">
      <c r="A134" s="299" t="s">
        <v>389</v>
      </c>
      <c r="B134" s="32" t="s">
        <v>83</v>
      </c>
      <c r="C134" s="42">
        <f>SUM(C135:C138)+SUM(C140:C142)+C145+C153</f>
        <v>173736212</v>
      </c>
      <c r="D134" s="42">
        <f>SUM(D135:D138)+SUM(D140:D142)+D145+D153</f>
        <v>173775801</v>
      </c>
    </row>
    <row r="135" spans="1:4" ht="89.25">
      <c r="A135" s="299" t="s">
        <v>389</v>
      </c>
      <c r="B135" s="13" t="s">
        <v>765</v>
      </c>
      <c r="C135" s="43">
        <v>334700</v>
      </c>
      <c r="D135" s="43">
        <v>334700</v>
      </c>
    </row>
    <row r="136" spans="1:4" ht="114.75">
      <c r="A136" s="299" t="s">
        <v>389</v>
      </c>
      <c r="B136" s="13" t="s">
        <v>715</v>
      </c>
      <c r="C136" s="43">
        <v>334700</v>
      </c>
      <c r="D136" s="43">
        <v>334700</v>
      </c>
    </row>
    <row r="137" spans="1:4" ht="89.25">
      <c r="A137" s="299" t="s">
        <v>389</v>
      </c>
      <c r="B137" s="13" t="s">
        <v>264</v>
      </c>
      <c r="C137" s="43">
        <v>334700</v>
      </c>
      <c r="D137" s="43">
        <v>334700</v>
      </c>
    </row>
    <row r="138" spans="1:4" ht="89.25">
      <c r="A138" s="299" t="s">
        <v>389</v>
      </c>
      <c r="B138" s="13" t="s">
        <v>70</v>
      </c>
      <c r="C138" s="42">
        <f>C139</f>
        <v>1004100</v>
      </c>
      <c r="D138" s="42">
        <f>D139</f>
        <v>1004100</v>
      </c>
    </row>
    <row r="139" spans="1:4" ht="12.75">
      <c r="A139" s="31"/>
      <c r="B139" s="33" t="s">
        <v>364</v>
      </c>
      <c r="C139" s="43">
        <v>1004100</v>
      </c>
      <c r="D139" s="43">
        <v>1004100</v>
      </c>
    </row>
    <row r="140" spans="1:4" ht="127.5">
      <c r="A140" s="299" t="s">
        <v>389</v>
      </c>
      <c r="B140" s="13" t="s">
        <v>392</v>
      </c>
      <c r="C140" s="43">
        <v>96274514</v>
      </c>
      <c r="D140" s="43">
        <v>96274514</v>
      </c>
    </row>
    <row r="141" spans="1:4" ht="114.75">
      <c r="A141" s="299" t="s">
        <v>389</v>
      </c>
      <c r="B141" s="13" t="s">
        <v>168</v>
      </c>
      <c r="C141" s="43">
        <v>55488082</v>
      </c>
      <c r="D141" s="43">
        <v>55488082</v>
      </c>
    </row>
    <row r="142" spans="1:4" ht="114.75">
      <c r="A142" s="299" t="s">
        <v>389</v>
      </c>
      <c r="B142" s="34" t="s">
        <v>598</v>
      </c>
      <c r="C142" s="42">
        <f>SUM(C143:C144)</f>
        <v>5352121</v>
      </c>
      <c r="D142" s="42">
        <f>SUM(D143:D144)</f>
        <v>5352121</v>
      </c>
    </row>
    <row r="143" spans="1:4" ht="51">
      <c r="A143" s="31"/>
      <c r="B143" s="33" t="s">
        <v>322</v>
      </c>
      <c r="C143" s="43">
        <v>236023</v>
      </c>
      <c r="D143" s="43">
        <v>236023</v>
      </c>
    </row>
    <row r="144" spans="1:4" ht="25.5">
      <c r="A144" s="31"/>
      <c r="B144" s="33" t="s">
        <v>365</v>
      </c>
      <c r="C144" s="43">
        <v>5116098</v>
      </c>
      <c r="D144" s="43">
        <v>5116098</v>
      </c>
    </row>
    <row r="145" spans="1:4" ht="76.5">
      <c r="A145" s="299" t="s">
        <v>389</v>
      </c>
      <c r="B145" s="13" t="s">
        <v>575</v>
      </c>
      <c r="C145" s="42">
        <f>SUM(C146:C152)</f>
        <v>13361725</v>
      </c>
      <c r="D145" s="42">
        <f>SUM(D146:D152)</f>
        <v>13401314</v>
      </c>
    </row>
    <row r="146" spans="1:4" ht="38.25">
      <c r="A146" s="31"/>
      <c r="B146" s="33" t="s">
        <v>366</v>
      </c>
      <c r="C146" s="43"/>
      <c r="D146" s="43"/>
    </row>
    <row r="147" spans="1:4" ht="25.5">
      <c r="A147" s="31"/>
      <c r="B147" s="33" t="s">
        <v>367</v>
      </c>
      <c r="C147" s="43">
        <v>7074641</v>
      </c>
      <c r="D147" s="43">
        <v>7074641</v>
      </c>
    </row>
    <row r="148" spans="1:4" ht="63.75">
      <c r="A148" s="31"/>
      <c r="B148" s="33" t="s">
        <v>542</v>
      </c>
      <c r="C148" s="43">
        <v>265488</v>
      </c>
      <c r="D148" s="43">
        <v>265488</v>
      </c>
    </row>
    <row r="149" spans="1:4" ht="12.75">
      <c r="A149" s="31"/>
      <c r="B149" s="33" t="s">
        <v>543</v>
      </c>
      <c r="C149" s="43">
        <v>1707915</v>
      </c>
      <c r="D149" s="43">
        <v>1707915</v>
      </c>
    </row>
    <row r="150" spans="1:4" ht="38.25">
      <c r="A150" s="31"/>
      <c r="B150" s="33" t="s">
        <v>544</v>
      </c>
      <c r="C150" s="43">
        <v>2342900</v>
      </c>
      <c r="D150" s="43">
        <v>2342900</v>
      </c>
    </row>
    <row r="151" spans="1:4" ht="51">
      <c r="A151" s="31"/>
      <c r="B151" s="128" t="s">
        <v>0</v>
      </c>
      <c r="C151" s="43">
        <v>1094800</v>
      </c>
      <c r="D151" s="43">
        <v>1094800</v>
      </c>
    </row>
    <row r="152" spans="1:4" ht="38.25">
      <c r="A152" s="31"/>
      <c r="B152" s="302" t="s">
        <v>500</v>
      </c>
      <c r="C152" s="43">
        <v>875981</v>
      </c>
      <c r="D152" s="43">
        <v>915570</v>
      </c>
    </row>
    <row r="153" spans="1:4" ht="89.25">
      <c r="A153" s="299" t="s">
        <v>389</v>
      </c>
      <c r="B153" s="34" t="s">
        <v>576</v>
      </c>
      <c r="C153" s="43">
        <f>SUM(C154:C155)</f>
        <v>1251570</v>
      </c>
      <c r="D153" s="43">
        <f>SUM(D154:D155)</f>
        <v>1251570</v>
      </c>
    </row>
    <row r="154" spans="1:4" ht="38.25">
      <c r="A154" s="31"/>
      <c r="B154" s="33" t="s">
        <v>577</v>
      </c>
      <c r="C154" s="43">
        <v>1084220</v>
      </c>
      <c r="D154" s="43">
        <v>1084220</v>
      </c>
    </row>
    <row r="155" spans="1:4" ht="51">
      <c r="A155" s="38"/>
      <c r="B155" s="39" t="s">
        <v>578</v>
      </c>
      <c r="C155" s="44">
        <v>167350</v>
      </c>
      <c r="D155" s="44">
        <v>167350</v>
      </c>
    </row>
  </sheetData>
  <sheetProtection/>
  <mergeCells count="1">
    <mergeCell ref="B3:D3"/>
  </mergeCells>
  <hyperlinks>
    <hyperlink ref="B73" r:id="rId1" display="/document/12125267/entry/50"/>
    <hyperlink ref="B75" r:id="rId2" display="https://internet.garant.ru/#/document/12125267/entry/60"/>
    <hyperlink ref="B83" r:id="rId3" display="/document/12125267/entry/140"/>
    <hyperlink ref="B85" r:id="rId4" display="https://internet.garant.ru/#/document/12125267/entry/150"/>
    <hyperlink ref="B87" r:id="rId5" display="https://internet.garant.ru/#/document/12125267/entry/190"/>
    <hyperlink ref="B89" r:id="rId6" display="/document/12125267/entry/200"/>
  </hyperlinks>
  <printOptions/>
  <pageMargins left="0.7" right="0.7" top="0.75" bottom="0.75" header="0.3" footer="0.3"/>
  <pageSetup orientation="portrait" paperSize="9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465"/>
  <sheetViews>
    <sheetView showGridLines="0" zoomScaleSheetLayoutView="100" zoomScalePageLayoutView="0" workbookViewId="0" topLeftCell="A1">
      <pane xSplit="1" ySplit="7" topLeftCell="B46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3" sqref="F33"/>
    </sheetView>
  </sheetViews>
  <sheetFormatPr defaultColWidth="9.140625" defaultRowHeight="12.75"/>
  <cols>
    <col min="1" max="1" width="60.421875" style="140" customWidth="1"/>
    <col min="2" max="2" width="3.8515625" style="140" customWidth="1"/>
    <col min="3" max="3" width="4.57421875" style="140" customWidth="1"/>
    <col min="4" max="4" width="13.28125" style="140" customWidth="1"/>
    <col min="5" max="5" width="4.57421875" style="140" customWidth="1"/>
    <col min="6" max="6" width="14.421875" style="141" customWidth="1"/>
    <col min="7" max="16384" width="9.140625" style="140" customWidth="1"/>
  </cols>
  <sheetData>
    <row r="1" spans="1:6" ht="12.75">
      <c r="A1" s="187"/>
      <c r="B1" s="185"/>
      <c r="C1" s="185"/>
      <c r="D1" s="185"/>
      <c r="E1" s="185"/>
      <c r="F1" s="188" t="s">
        <v>474</v>
      </c>
    </row>
    <row r="2" spans="1:6" ht="12.75">
      <c r="A2" s="187"/>
      <c r="B2" s="185"/>
      <c r="C2" s="185"/>
      <c r="D2" s="185"/>
      <c r="E2" s="185"/>
      <c r="F2" s="27" t="s">
        <v>263</v>
      </c>
    </row>
    <row r="3" spans="1:6" ht="12.75">
      <c r="A3" s="186"/>
      <c r="B3" s="490" t="s">
        <v>1017</v>
      </c>
      <c r="C3" s="494"/>
      <c r="D3" s="494"/>
      <c r="E3" s="494"/>
      <c r="F3" s="494"/>
    </row>
    <row r="4" spans="1:6" ht="46.5" customHeight="1">
      <c r="A4" s="495" t="s">
        <v>913</v>
      </c>
      <c r="B4" s="495"/>
      <c r="C4" s="495"/>
      <c r="D4" s="495"/>
      <c r="E4" s="495"/>
      <c r="F4" s="495"/>
    </row>
    <row r="5" spans="1:6" ht="12.75">
      <c r="A5" s="182"/>
      <c r="B5" s="182"/>
      <c r="C5" s="182"/>
      <c r="D5" s="182"/>
      <c r="E5" s="182"/>
      <c r="F5" s="181" t="s">
        <v>88</v>
      </c>
    </row>
    <row r="6" spans="1:6" ht="29.25" customHeight="1">
      <c r="A6" s="180" t="s">
        <v>84</v>
      </c>
      <c r="B6" s="180" t="s">
        <v>523</v>
      </c>
      <c r="C6" s="180" t="s">
        <v>524</v>
      </c>
      <c r="D6" s="180" t="s">
        <v>525</v>
      </c>
      <c r="E6" s="431" t="s">
        <v>526</v>
      </c>
      <c r="F6" s="178" t="s">
        <v>290</v>
      </c>
    </row>
    <row r="7" spans="1:6" ht="12.75">
      <c r="A7" s="179" t="s">
        <v>72</v>
      </c>
      <c r="B7" s="179" t="s">
        <v>85</v>
      </c>
      <c r="C7" s="179" t="s">
        <v>73</v>
      </c>
      <c r="D7" s="179" t="s">
        <v>527</v>
      </c>
      <c r="E7" s="432" t="s">
        <v>528</v>
      </c>
      <c r="F7" s="178" t="s">
        <v>529</v>
      </c>
    </row>
    <row r="8" spans="1:6" ht="12.75">
      <c r="A8" s="177" t="s">
        <v>89</v>
      </c>
      <c r="B8" s="176" t="s">
        <v>87</v>
      </c>
      <c r="C8" s="176" t="s">
        <v>87</v>
      </c>
      <c r="D8" s="176" t="s">
        <v>87</v>
      </c>
      <c r="E8" s="176" t="s">
        <v>87</v>
      </c>
      <c r="F8" s="175">
        <f>F9+F102+F108+F124+F172+F235+F241+F353+F370+F376+F452+F459</f>
        <v>749239034.1</v>
      </c>
    </row>
    <row r="9" spans="1:6" ht="12.75">
      <c r="A9" s="174" t="s">
        <v>593</v>
      </c>
      <c r="B9" s="172" t="s">
        <v>530</v>
      </c>
      <c r="C9" s="173" t="s">
        <v>462</v>
      </c>
      <c r="D9" s="172" t="s">
        <v>87</v>
      </c>
      <c r="E9" s="172" t="s">
        <v>87</v>
      </c>
      <c r="F9" s="171">
        <f>F10+F15+F27+F48+F53+F22+F43</f>
        <v>53928558.5</v>
      </c>
    </row>
    <row r="10" spans="1:6" ht="25.5">
      <c r="A10" s="152" t="s">
        <v>531</v>
      </c>
      <c r="B10" s="151" t="s">
        <v>530</v>
      </c>
      <c r="C10" s="151" t="s">
        <v>532</v>
      </c>
      <c r="D10" s="151" t="s">
        <v>87</v>
      </c>
      <c r="E10" s="151" t="s">
        <v>87</v>
      </c>
      <c r="F10" s="146">
        <f>F11</f>
        <v>359440</v>
      </c>
    </row>
    <row r="11" spans="1:6" ht="25.5">
      <c r="A11" s="159" t="s">
        <v>583</v>
      </c>
      <c r="B11" s="147" t="s">
        <v>530</v>
      </c>
      <c r="C11" s="147" t="s">
        <v>532</v>
      </c>
      <c r="D11" s="147" t="s">
        <v>686</v>
      </c>
      <c r="E11" s="147" t="s">
        <v>87</v>
      </c>
      <c r="F11" s="146">
        <f>F12</f>
        <v>359440</v>
      </c>
    </row>
    <row r="12" spans="1:6" ht="12.75">
      <c r="A12" s="159" t="s">
        <v>357</v>
      </c>
      <c r="B12" s="147" t="s">
        <v>530</v>
      </c>
      <c r="C12" s="147" t="s">
        <v>532</v>
      </c>
      <c r="D12" s="147" t="s">
        <v>687</v>
      </c>
      <c r="E12" s="149" t="s">
        <v>87</v>
      </c>
      <c r="F12" s="146">
        <f>F13</f>
        <v>359440</v>
      </c>
    </row>
    <row r="13" spans="1:6" ht="25.5">
      <c r="A13" s="149" t="s">
        <v>731</v>
      </c>
      <c r="B13" s="147" t="s">
        <v>530</v>
      </c>
      <c r="C13" s="147" t="s">
        <v>532</v>
      </c>
      <c r="D13" s="147" t="s">
        <v>688</v>
      </c>
      <c r="E13" s="147" t="s">
        <v>87</v>
      </c>
      <c r="F13" s="146">
        <f>F14</f>
        <v>359440</v>
      </c>
    </row>
    <row r="14" spans="1:6" ht="51">
      <c r="A14" s="159" t="s">
        <v>735</v>
      </c>
      <c r="B14" s="147" t="s">
        <v>530</v>
      </c>
      <c r="C14" s="147" t="s">
        <v>532</v>
      </c>
      <c r="D14" s="147" t="s">
        <v>688</v>
      </c>
      <c r="E14" s="147" t="s">
        <v>592</v>
      </c>
      <c r="F14" s="158">
        <f>1314352-950574-4338</f>
        <v>359440</v>
      </c>
    </row>
    <row r="15" spans="1:6" ht="38.25">
      <c r="A15" s="152" t="s">
        <v>721</v>
      </c>
      <c r="B15" s="151" t="s">
        <v>530</v>
      </c>
      <c r="C15" s="151" t="s">
        <v>533</v>
      </c>
      <c r="D15" s="151" t="s">
        <v>87</v>
      </c>
      <c r="E15" s="151" t="s">
        <v>87</v>
      </c>
      <c r="F15" s="146">
        <f>F16</f>
        <v>13489682</v>
      </c>
    </row>
    <row r="16" spans="1:6" ht="12.75">
      <c r="A16" s="159" t="s">
        <v>469</v>
      </c>
      <c r="B16" s="147" t="s">
        <v>530</v>
      </c>
      <c r="C16" s="147" t="s">
        <v>533</v>
      </c>
      <c r="D16" s="147" t="s">
        <v>689</v>
      </c>
      <c r="E16" s="147" t="s">
        <v>87</v>
      </c>
      <c r="F16" s="146">
        <f>F17</f>
        <v>13489682</v>
      </c>
    </row>
    <row r="17" spans="1:6" ht="12.75">
      <c r="A17" s="159" t="s">
        <v>473</v>
      </c>
      <c r="B17" s="147" t="s">
        <v>530</v>
      </c>
      <c r="C17" s="147" t="s">
        <v>533</v>
      </c>
      <c r="D17" s="147" t="s">
        <v>690</v>
      </c>
      <c r="E17" s="149" t="s">
        <v>87</v>
      </c>
      <c r="F17" s="146">
        <f>F18</f>
        <v>13489682</v>
      </c>
    </row>
    <row r="18" spans="1:6" ht="25.5">
      <c r="A18" s="149" t="s">
        <v>731</v>
      </c>
      <c r="B18" s="147" t="s">
        <v>530</v>
      </c>
      <c r="C18" s="147" t="s">
        <v>533</v>
      </c>
      <c r="D18" s="147" t="s">
        <v>692</v>
      </c>
      <c r="E18" s="147" t="s">
        <v>87</v>
      </c>
      <c r="F18" s="146">
        <f>SUM(F19:F21)</f>
        <v>13489682</v>
      </c>
    </row>
    <row r="19" spans="1:6" ht="51">
      <c r="A19" s="159" t="s">
        <v>735</v>
      </c>
      <c r="B19" s="147" t="s">
        <v>530</v>
      </c>
      <c r="C19" s="147" t="s">
        <v>533</v>
      </c>
      <c r="D19" s="147" t="s">
        <v>692</v>
      </c>
      <c r="E19" s="147">
        <v>100</v>
      </c>
      <c r="F19" s="158">
        <f>11401730+810638</f>
        <v>12212368</v>
      </c>
    </row>
    <row r="20" spans="1:6" ht="25.5">
      <c r="A20" s="159" t="s">
        <v>228</v>
      </c>
      <c r="B20" s="147" t="s">
        <v>530</v>
      </c>
      <c r="C20" s="147" t="s">
        <v>533</v>
      </c>
      <c r="D20" s="147" t="s">
        <v>692</v>
      </c>
      <c r="E20" s="147">
        <v>200</v>
      </c>
      <c r="F20" s="158">
        <v>1153128</v>
      </c>
    </row>
    <row r="21" spans="1:6" ht="12.75">
      <c r="A21" s="159" t="s">
        <v>77</v>
      </c>
      <c r="B21" s="147" t="s">
        <v>530</v>
      </c>
      <c r="C21" s="147" t="s">
        <v>533</v>
      </c>
      <c r="D21" s="147" t="s">
        <v>692</v>
      </c>
      <c r="E21" s="147">
        <v>800</v>
      </c>
      <c r="F21" s="158">
        <f>123186+1000</f>
        <v>124186</v>
      </c>
    </row>
    <row r="22" spans="1:6" ht="12.75">
      <c r="A22" s="303" t="s">
        <v>866</v>
      </c>
      <c r="B22" s="147" t="s">
        <v>530</v>
      </c>
      <c r="C22" s="163" t="s">
        <v>653</v>
      </c>
      <c r="D22" s="147"/>
      <c r="E22" s="147"/>
      <c r="F22" s="158">
        <f>F23</f>
        <v>41201</v>
      </c>
    </row>
    <row r="23" spans="1:6" ht="25.5">
      <c r="A23" s="304" t="s">
        <v>626</v>
      </c>
      <c r="B23" s="147" t="s">
        <v>530</v>
      </c>
      <c r="C23" s="163" t="s">
        <v>653</v>
      </c>
      <c r="D23" s="165" t="s">
        <v>14</v>
      </c>
      <c r="E23" s="164"/>
      <c r="F23" s="158">
        <f>F24</f>
        <v>41201</v>
      </c>
    </row>
    <row r="24" spans="1:6" ht="16.5" customHeight="1">
      <c r="A24" s="305" t="s">
        <v>636</v>
      </c>
      <c r="B24" s="147" t="s">
        <v>530</v>
      </c>
      <c r="C24" s="163" t="s">
        <v>653</v>
      </c>
      <c r="D24" s="165" t="s">
        <v>16</v>
      </c>
      <c r="E24" s="164"/>
      <c r="F24" s="158">
        <f>F25</f>
        <v>41201</v>
      </c>
    </row>
    <row r="25" spans="1:6" ht="38.25">
      <c r="A25" s="305" t="s">
        <v>867</v>
      </c>
      <c r="B25" s="147" t="s">
        <v>530</v>
      </c>
      <c r="C25" s="163" t="s">
        <v>653</v>
      </c>
      <c r="D25" s="165" t="s">
        <v>868</v>
      </c>
      <c r="E25" s="164"/>
      <c r="F25" s="158">
        <f>F26</f>
        <v>41201</v>
      </c>
    </row>
    <row r="26" spans="1:6" ht="25.5">
      <c r="A26" s="303" t="s">
        <v>228</v>
      </c>
      <c r="B26" s="147" t="s">
        <v>530</v>
      </c>
      <c r="C26" s="163" t="s">
        <v>653</v>
      </c>
      <c r="D26" s="165" t="s">
        <v>868</v>
      </c>
      <c r="E26" s="164">
        <v>200</v>
      </c>
      <c r="F26" s="158">
        <v>41201</v>
      </c>
    </row>
    <row r="27" spans="1:6" ht="38.25">
      <c r="A27" s="152" t="s">
        <v>345</v>
      </c>
      <c r="B27" s="151" t="s">
        <v>530</v>
      </c>
      <c r="C27" s="151" t="s">
        <v>534</v>
      </c>
      <c r="D27" s="151" t="s">
        <v>87</v>
      </c>
      <c r="E27" s="151" t="s">
        <v>87</v>
      </c>
      <c r="F27" s="146">
        <f>F28+F35</f>
        <v>5590778</v>
      </c>
    </row>
    <row r="28" spans="1:6" ht="25.5">
      <c r="A28" s="150" t="s">
        <v>171</v>
      </c>
      <c r="B28" s="147" t="s">
        <v>530</v>
      </c>
      <c r="C28" s="147" t="s">
        <v>534</v>
      </c>
      <c r="D28" s="147" t="s">
        <v>693</v>
      </c>
      <c r="E28" s="147" t="s">
        <v>87</v>
      </c>
      <c r="F28" s="146">
        <f>F29</f>
        <v>4420392</v>
      </c>
    </row>
    <row r="29" spans="1:6" ht="42" customHeight="1">
      <c r="A29" s="84" t="s">
        <v>173</v>
      </c>
      <c r="B29" s="147" t="s">
        <v>530</v>
      </c>
      <c r="C29" s="147" t="s">
        <v>534</v>
      </c>
      <c r="D29" s="147" t="s">
        <v>694</v>
      </c>
      <c r="E29" s="149" t="s">
        <v>87</v>
      </c>
      <c r="F29" s="146">
        <f>F30</f>
        <v>4420392</v>
      </c>
    </row>
    <row r="30" spans="1:6" ht="38.25">
      <c r="A30" s="7" t="s">
        <v>594</v>
      </c>
      <c r="B30" s="147" t="s">
        <v>530</v>
      </c>
      <c r="C30" s="147" t="s">
        <v>534</v>
      </c>
      <c r="D30" s="147" t="s">
        <v>312</v>
      </c>
      <c r="E30" s="149"/>
      <c r="F30" s="146">
        <f>F31</f>
        <v>4420392</v>
      </c>
    </row>
    <row r="31" spans="1:6" ht="25.5">
      <c r="A31" s="149" t="s">
        <v>731</v>
      </c>
      <c r="B31" s="147" t="s">
        <v>530</v>
      </c>
      <c r="C31" s="147" t="s">
        <v>534</v>
      </c>
      <c r="D31" s="147" t="s">
        <v>695</v>
      </c>
      <c r="E31" s="147" t="s">
        <v>87</v>
      </c>
      <c r="F31" s="146">
        <f>SUM(F32:F34)</f>
        <v>4420392</v>
      </c>
    </row>
    <row r="32" spans="1:6" ht="51">
      <c r="A32" s="159" t="s">
        <v>735</v>
      </c>
      <c r="B32" s="147" t="s">
        <v>530</v>
      </c>
      <c r="C32" s="147" t="s">
        <v>534</v>
      </c>
      <c r="D32" s="147" t="s">
        <v>695</v>
      </c>
      <c r="E32" s="147">
        <v>100</v>
      </c>
      <c r="F32" s="158">
        <f>3065881+925896+21378+4338</f>
        <v>4017493</v>
      </c>
    </row>
    <row r="33" spans="1:6" ht="25.5">
      <c r="A33" s="159" t="s">
        <v>228</v>
      </c>
      <c r="B33" s="147" t="s">
        <v>530</v>
      </c>
      <c r="C33" s="147" t="s">
        <v>534</v>
      </c>
      <c r="D33" s="147" t="s">
        <v>695</v>
      </c>
      <c r="E33" s="147" t="s">
        <v>74</v>
      </c>
      <c r="F33" s="158">
        <f>64899+5000+15000+296000+22000</f>
        <v>402899</v>
      </c>
    </row>
    <row r="34" spans="1:6" ht="12.75" customHeight="1" hidden="1">
      <c r="A34" s="159" t="s">
        <v>77</v>
      </c>
      <c r="B34" s="147" t="s">
        <v>530</v>
      </c>
      <c r="C34" s="147" t="s">
        <v>534</v>
      </c>
      <c r="D34" s="147" t="s">
        <v>695</v>
      </c>
      <c r="E34" s="147">
        <v>800</v>
      </c>
      <c r="F34" s="158"/>
    </row>
    <row r="35" spans="1:6" ht="25.5">
      <c r="A35" s="150" t="s">
        <v>169</v>
      </c>
      <c r="B35" s="147" t="s">
        <v>530</v>
      </c>
      <c r="C35" s="147" t="s">
        <v>534</v>
      </c>
      <c r="D35" s="148" t="s">
        <v>696</v>
      </c>
      <c r="E35" s="149" t="s">
        <v>87</v>
      </c>
      <c r="F35" s="146">
        <f>F36+F39</f>
        <v>1170386</v>
      </c>
    </row>
    <row r="36" spans="1:6" ht="25.5">
      <c r="A36" s="84" t="s">
        <v>170</v>
      </c>
      <c r="B36" s="147" t="s">
        <v>530</v>
      </c>
      <c r="C36" s="147" t="s">
        <v>534</v>
      </c>
      <c r="D36" s="160" t="s">
        <v>697</v>
      </c>
      <c r="E36" s="147" t="s">
        <v>87</v>
      </c>
      <c r="F36" s="146">
        <f>F37</f>
        <v>704687</v>
      </c>
    </row>
    <row r="37" spans="1:6" ht="25.5">
      <c r="A37" s="149" t="s">
        <v>731</v>
      </c>
      <c r="B37" s="147" t="s">
        <v>530</v>
      </c>
      <c r="C37" s="147" t="s">
        <v>534</v>
      </c>
      <c r="D37" s="148" t="s">
        <v>698</v>
      </c>
      <c r="E37" s="147"/>
      <c r="F37" s="146">
        <f>SUM(F38:F38)</f>
        <v>704687</v>
      </c>
    </row>
    <row r="38" spans="1:6" ht="51">
      <c r="A38" s="159" t="s">
        <v>735</v>
      </c>
      <c r="B38" s="147" t="s">
        <v>530</v>
      </c>
      <c r="C38" s="147" t="s">
        <v>534</v>
      </c>
      <c r="D38" s="148" t="s">
        <v>698</v>
      </c>
      <c r="E38" s="147">
        <v>100</v>
      </c>
      <c r="F38" s="146">
        <v>704687</v>
      </c>
    </row>
    <row r="39" spans="1:6" ht="12.75">
      <c r="A39" s="159" t="s">
        <v>40</v>
      </c>
      <c r="B39" s="147" t="s">
        <v>530</v>
      </c>
      <c r="C39" s="147" t="s">
        <v>534</v>
      </c>
      <c r="D39" s="160" t="s">
        <v>39</v>
      </c>
      <c r="E39" s="147"/>
      <c r="F39" s="146">
        <f>F40</f>
        <v>465699</v>
      </c>
    </row>
    <row r="40" spans="1:6" ht="25.5">
      <c r="A40" s="149" t="s">
        <v>731</v>
      </c>
      <c r="B40" s="147" t="s">
        <v>530</v>
      </c>
      <c r="C40" s="147" t="s">
        <v>534</v>
      </c>
      <c r="D40" s="148" t="s">
        <v>38</v>
      </c>
      <c r="E40" s="147"/>
      <c r="F40" s="146">
        <f>SUM(F41:F42)</f>
        <v>465699</v>
      </c>
    </row>
    <row r="41" spans="1:6" ht="51">
      <c r="A41" s="159" t="s">
        <v>735</v>
      </c>
      <c r="B41" s="147" t="s">
        <v>530</v>
      </c>
      <c r="C41" s="147" t="s">
        <v>534</v>
      </c>
      <c r="D41" s="148" t="s">
        <v>38</v>
      </c>
      <c r="E41" s="147">
        <v>100</v>
      </c>
      <c r="F41" s="158">
        <v>445699</v>
      </c>
    </row>
    <row r="42" spans="1:6" ht="25.5">
      <c r="A42" s="159" t="s">
        <v>228</v>
      </c>
      <c r="B42" s="147" t="s">
        <v>530</v>
      </c>
      <c r="C42" s="147" t="s">
        <v>534</v>
      </c>
      <c r="D42" s="148" t="s">
        <v>38</v>
      </c>
      <c r="E42" s="147">
        <v>200</v>
      </c>
      <c r="F42" s="158">
        <f>10000+10000</f>
        <v>20000</v>
      </c>
    </row>
    <row r="43" spans="1:6" ht="12.75">
      <c r="A43" s="159" t="s">
        <v>943</v>
      </c>
      <c r="B43" s="147" t="s">
        <v>530</v>
      </c>
      <c r="C43" s="147" t="s">
        <v>654</v>
      </c>
      <c r="D43" s="148"/>
      <c r="E43" s="147"/>
      <c r="F43" s="158">
        <f>F44</f>
        <v>1130750</v>
      </c>
    </row>
    <row r="44" spans="1:6" ht="12.75">
      <c r="A44" s="159" t="s">
        <v>626</v>
      </c>
      <c r="B44" s="147" t="s">
        <v>530</v>
      </c>
      <c r="C44" s="147" t="s">
        <v>654</v>
      </c>
      <c r="D44" s="148" t="s">
        <v>944</v>
      </c>
      <c r="E44" s="147"/>
      <c r="F44" s="158">
        <f>F45</f>
        <v>1130750</v>
      </c>
    </row>
    <row r="45" spans="1:6" ht="12.75">
      <c r="A45" s="159" t="s">
        <v>945</v>
      </c>
      <c r="B45" s="147" t="s">
        <v>530</v>
      </c>
      <c r="C45" s="147" t="s">
        <v>654</v>
      </c>
      <c r="D45" s="148" t="s">
        <v>946</v>
      </c>
      <c r="E45" s="147"/>
      <c r="F45" s="158">
        <f>F46</f>
        <v>1130750</v>
      </c>
    </row>
    <row r="46" spans="1:6" ht="12.75">
      <c r="A46" s="433" t="s">
        <v>947</v>
      </c>
      <c r="B46" s="147" t="s">
        <v>530</v>
      </c>
      <c r="C46" s="147" t="s">
        <v>654</v>
      </c>
      <c r="D46" s="148" t="s">
        <v>948</v>
      </c>
      <c r="E46" s="147"/>
      <c r="F46" s="158">
        <f>F47</f>
        <v>1130750</v>
      </c>
    </row>
    <row r="47" spans="1:6" ht="25.5">
      <c r="A47" s="159" t="s">
        <v>151</v>
      </c>
      <c r="B47" s="147" t="s">
        <v>530</v>
      </c>
      <c r="C47" s="147" t="s">
        <v>654</v>
      </c>
      <c r="D47" s="148" t="s">
        <v>948</v>
      </c>
      <c r="E47" s="147">
        <v>800</v>
      </c>
      <c r="F47" s="158">
        <v>1130750</v>
      </c>
    </row>
    <row r="48" spans="1:6" ht="12.75">
      <c r="A48" s="152" t="s">
        <v>535</v>
      </c>
      <c r="B48" s="151" t="s">
        <v>530</v>
      </c>
      <c r="C48" s="151" t="s">
        <v>536</v>
      </c>
      <c r="D48" s="151" t="s">
        <v>87</v>
      </c>
      <c r="E48" s="151" t="s">
        <v>87</v>
      </c>
      <c r="F48" s="146">
        <f>F49</f>
        <v>300000</v>
      </c>
    </row>
    <row r="49" spans="1:6" ht="12.75">
      <c r="A49" s="159" t="s">
        <v>174</v>
      </c>
      <c r="B49" s="147" t="s">
        <v>530</v>
      </c>
      <c r="C49" s="147" t="s">
        <v>536</v>
      </c>
      <c r="D49" s="147" t="s">
        <v>699</v>
      </c>
      <c r="E49" s="147" t="s">
        <v>87</v>
      </c>
      <c r="F49" s="146">
        <f>F50</f>
        <v>300000</v>
      </c>
    </row>
    <row r="50" spans="1:6" ht="12.75">
      <c r="A50" s="159" t="s">
        <v>535</v>
      </c>
      <c r="B50" s="147" t="s">
        <v>530</v>
      </c>
      <c r="C50" s="147" t="s">
        <v>536</v>
      </c>
      <c r="D50" s="147" t="s">
        <v>700</v>
      </c>
      <c r="E50" s="149" t="s">
        <v>87</v>
      </c>
      <c r="F50" s="146">
        <f>F51</f>
        <v>300000</v>
      </c>
    </row>
    <row r="51" spans="1:6" ht="12.75">
      <c r="A51" s="149" t="s">
        <v>261</v>
      </c>
      <c r="B51" s="147" t="s">
        <v>530</v>
      </c>
      <c r="C51" s="147" t="s">
        <v>536</v>
      </c>
      <c r="D51" s="147" t="s">
        <v>222</v>
      </c>
      <c r="E51" s="147" t="s">
        <v>87</v>
      </c>
      <c r="F51" s="146">
        <f>F52</f>
        <v>300000</v>
      </c>
    </row>
    <row r="52" spans="1:6" ht="12.75">
      <c r="A52" s="159" t="s">
        <v>77</v>
      </c>
      <c r="B52" s="147" t="s">
        <v>530</v>
      </c>
      <c r="C52" s="147" t="s">
        <v>536</v>
      </c>
      <c r="D52" s="147" t="s">
        <v>222</v>
      </c>
      <c r="E52" s="147" t="s">
        <v>78</v>
      </c>
      <c r="F52" s="158">
        <f>100000+200000</f>
        <v>300000</v>
      </c>
    </row>
    <row r="53" spans="1:6" ht="12.75">
      <c r="A53" s="152" t="s">
        <v>471</v>
      </c>
      <c r="B53" s="151" t="s">
        <v>530</v>
      </c>
      <c r="C53" s="151" t="s">
        <v>100</v>
      </c>
      <c r="D53" s="151" t="s">
        <v>87</v>
      </c>
      <c r="E53" s="151" t="s">
        <v>87</v>
      </c>
      <c r="F53" s="146">
        <f>F54+F59+F65+F72+F82+F86+F79</f>
        <v>33016707.5</v>
      </c>
    </row>
    <row r="54" spans="1:6" ht="25.5" customHeight="1" hidden="1">
      <c r="A54" s="150" t="s">
        <v>751</v>
      </c>
      <c r="B54" s="147" t="s">
        <v>530</v>
      </c>
      <c r="C54" s="147" t="s">
        <v>100</v>
      </c>
      <c r="D54" s="147" t="s">
        <v>223</v>
      </c>
      <c r="E54" s="147" t="s">
        <v>87</v>
      </c>
      <c r="F54" s="146">
        <f>F55</f>
        <v>0</v>
      </c>
    </row>
    <row r="55" spans="1:6" ht="51" customHeight="1" hidden="1">
      <c r="A55" s="84" t="s">
        <v>624</v>
      </c>
      <c r="B55" s="147" t="s">
        <v>530</v>
      </c>
      <c r="C55" s="147" t="s">
        <v>100</v>
      </c>
      <c r="D55" s="160" t="s">
        <v>6</v>
      </c>
      <c r="E55" s="149" t="s">
        <v>87</v>
      </c>
      <c r="F55" s="146">
        <f>F56</f>
        <v>0</v>
      </c>
    </row>
    <row r="56" spans="1:6" ht="38.25" customHeight="1" hidden="1">
      <c r="A56" s="10" t="s">
        <v>450</v>
      </c>
      <c r="B56" s="147" t="s">
        <v>530</v>
      </c>
      <c r="C56" s="147" t="s">
        <v>100</v>
      </c>
      <c r="D56" s="160" t="s">
        <v>132</v>
      </c>
      <c r="E56" s="149"/>
      <c r="F56" s="146">
        <f>F57</f>
        <v>0</v>
      </c>
    </row>
    <row r="57" spans="1:6" ht="38.25" customHeight="1" hidden="1">
      <c r="A57" s="149" t="s">
        <v>625</v>
      </c>
      <c r="B57" s="147" t="s">
        <v>530</v>
      </c>
      <c r="C57" s="147" t="s">
        <v>100</v>
      </c>
      <c r="D57" s="148" t="s">
        <v>451</v>
      </c>
      <c r="E57" s="147" t="s">
        <v>87</v>
      </c>
      <c r="F57" s="146">
        <f>F58</f>
        <v>0</v>
      </c>
    </row>
    <row r="58" spans="1:6" ht="25.5" customHeight="1" hidden="1">
      <c r="A58" s="159" t="s">
        <v>90</v>
      </c>
      <c r="B58" s="147" t="s">
        <v>530</v>
      </c>
      <c r="C58" s="147" t="s">
        <v>100</v>
      </c>
      <c r="D58" s="148" t="s">
        <v>451</v>
      </c>
      <c r="E58" s="147" t="s">
        <v>79</v>
      </c>
      <c r="F58" s="158">
        <v>0</v>
      </c>
    </row>
    <row r="59" spans="1:6" ht="51">
      <c r="A59" s="150" t="s">
        <v>711</v>
      </c>
      <c r="B59" s="147" t="s">
        <v>530</v>
      </c>
      <c r="C59" s="147" t="s">
        <v>100</v>
      </c>
      <c r="D59" s="148" t="s">
        <v>8</v>
      </c>
      <c r="E59" s="147" t="s">
        <v>87</v>
      </c>
      <c r="F59" s="146">
        <f>F60</f>
        <v>2736458</v>
      </c>
    </row>
    <row r="60" spans="1:6" ht="25.5">
      <c r="A60" s="152" t="s">
        <v>476</v>
      </c>
      <c r="B60" s="147" t="s">
        <v>530</v>
      </c>
      <c r="C60" s="147" t="s">
        <v>100</v>
      </c>
      <c r="D60" s="148" t="s">
        <v>9</v>
      </c>
      <c r="E60" s="147" t="s">
        <v>87</v>
      </c>
      <c r="F60" s="146">
        <f>F61</f>
        <v>2736458</v>
      </c>
    </row>
    <row r="61" spans="1:6" ht="38.25">
      <c r="A61" s="335" t="s">
        <v>37</v>
      </c>
      <c r="B61" s="147" t="s">
        <v>530</v>
      </c>
      <c r="C61" s="147" t="s">
        <v>100</v>
      </c>
      <c r="D61" s="148" t="s">
        <v>10</v>
      </c>
      <c r="E61" s="147"/>
      <c r="F61" s="146">
        <f>F62</f>
        <v>2736458</v>
      </c>
    </row>
    <row r="62" spans="1:6" ht="12.75">
      <c r="A62" s="149" t="s">
        <v>283</v>
      </c>
      <c r="B62" s="147" t="s">
        <v>530</v>
      </c>
      <c r="C62" s="147" t="s">
        <v>100</v>
      </c>
      <c r="D62" s="148" t="s">
        <v>11</v>
      </c>
      <c r="E62" s="147" t="s">
        <v>87</v>
      </c>
      <c r="F62" s="146">
        <f>SUM(F63:F64)</f>
        <v>2736458</v>
      </c>
    </row>
    <row r="63" spans="1:6" ht="25.5">
      <c r="A63" s="159" t="s">
        <v>228</v>
      </c>
      <c r="B63" s="147" t="s">
        <v>530</v>
      </c>
      <c r="C63" s="147" t="s">
        <v>100</v>
      </c>
      <c r="D63" s="148" t="s">
        <v>11</v>
      </c>
      <c r="E63" s="147" t="s">
        <v>74</v>
      </c>
      <c r="F63" s="158">
        <v>2217496</v>
      </c>
    </row>
    <row r="64" spans="1:6" ht="12.75">
      <c r="A64" s="159" t="s">
        <v>77</v>
      </c>
      <c r="B64" s="147" t="s">
        <v>530</v>
      </c>
      <c r="C64" s="147" t="s">
        <v>100</v>
      </c>
      <c r="D64" s="148" t="s">
        <v>11</v>
      </c>
      <c r="E64" s="147">
        <v>800</v>
      </c>
      <c r="F64" s="158">
        <v>518962</v>
      </c>
    </row>
    <row r="65" spans="1:6" ht="51">
      <c r="A65" s="150" t="s">
        <v>296</v>
      </c>
      <c r="B65" s="147" t="s">
        <v>530</v>
      </c>
      <c r="C65" s="147" t="s">
        <v>100</v>
      </c>
      <c r="D65" s="147" t="s">
        <v>12</v>
      </c>
      <c r="E65" s="147"/>
      <c r="F65" s="146">
        <f>F66</f>
        <v>50000</v>
      </c>
    </row>
    <row r="66" spans="1:6" ht="63.75">
      <c r="A66" s="84" t="s">
        <v>297</v>
      </c>
      <c r="B66" s="147" t="s">
        <v>530</v>
      </c>
      <c r="C66" s="147" t="s">
        <v>100</v>
      </c>
      <c r="D66" s="147" t="s">
        <v>13</v>
      </c>
      <c r="E66" s="147"/>
      <c r="F66" s="146">
        <f>F67</f>
        <v>50000</v>
      </c>
    </row>
    <row r="67" spans="1:6" ht="25.5">
      <c r="A67" s="87" t="s">
        <v>284</v>
      </c>
      <c r="B67" s="85" t="s">
        <v>530</v>
      </c>
      <c r="C67" s="85" t="s">
        <v>100</v>
      </c>
      <c r="D67" s="85" t="s">
        <v>110</v>
      </c>
      <c r="E67" s="85"/>
      <c r="F67" s="86">
        <f>F68</f>
        <v>50000</v>
      </c>
    </row>
    <row r="68" spans="1:6" ht="24">
      <c r="A68" s="336" t="s">
        <v>271</v>
      </c>
      <c r="B68" s="85" t="s">
        <v>530</v>
      </c>
      <c r="C68" s="85" t="s">
        <v>100</v>
      </c>
      <c r="D68" s="85" t="s">
        <v>285</v>
      </c>
      <c r="E68" s="85"/>
      <c r="F68" s="86">
        <f>F69</f>
        <v>50000</v>
      </c>
    </row>
    <row r="69" spans="1:6" ht="25.5">
      <c r="A69" s="87" t="s">
        <v>228</v>
      </c>
      <c r="B69" s="85" t="s">
        <v>530</v>
      </c>
      <c r="C69" s="85" t="s">
        <v>100</v>
      </c>
      <c r="D69" s="85" t="s">
        <v>285</v>
      </c>
      <c r="E69" s="85">
        <v>200</v>
      </c>
      <c r="F69" s="86">
        <v>50000</v>
      </c>
    </row>
    <row r="70" spans="1:6" ht="24" customHeight="1" hidden="1">
      <c r="A70" s="336" t="s">
        <v>271</v>
      </c>
      <c r="B70" s="147" t="s">
        <v>530</v>
      </c>
      <c r="C70" s="147" t="s">
        <v>100</v>
      </c>
      <c r="D70" s="147" t="s">
        <v>272</v>
      </c>
      <c r="E70" s="147"/>
      <c r="F70" s="146">
        <f>F71</f>
        <v>0</v>
      </c>
    </row>
    <row r="71" spans="1:6" ht="25.5" customHeight="1" hidden="1">
      <c r="A71" s="159" t="s">
        <v>228</v>
      </c>
      <c r="B71" s="147" t="s">
        <v>530</v>
      </c>
      <c r="C71" s="147" t="s">
        <v>100</v>
      </c>
      <c r="D71" s="147" t="s">
        <v>272</v>
      </c>
      <c r="E71" s="147">
        <v>200</v>
      </c>
      <c r="F71" s="158"/>
    </row>
    <row r="72" spans="1:6" ht="38.25" customHeight="1" hidden="1">
      <c r="A72" s="150" t="s">
        <v>713</v>
      </c>
      <c r="B72" s="147" t="s">
        <v>530</v>
      </c>
      <c r="C72" s="147" t="s">
        <v>100</v>
      </c>
      <c r="D72" s="147" t="s">
        <v>111</v>
      </c>
      <c r="E72" s="147"/>
      <c r="F72" s="146">
        <f>F73</f>
        <v>0</v>
      </c>
    </row>
    <row r="73" spans="1:6" ht="51" hidden="1">
      <c r="A73" s="84" t="s">
        <v>714</v>
      </c>
      <c r="B73" s="147" t="s">
        <v>530</v>
      </c>
      <c r="C73" s="147" t="s">
        <v>100</v>
      </c>
      <c r="D73" s="147" t="s">
        <v>112</v>
      </c>
      <c r="E73" s="147"/>
      <c r="F73" s="146">
        <f>F74</f>
        <v>0</v>
      </c>
    </row>
    <row r="74" spans="1:6" ht="25.5" hidden="1">
      <c r="A74" s="159" t="s">
        <v>113</v>
      </c>
      <c r="B74" s="147" t="s">
        <v>530</v>
      </c>
      <c r="C74" s="147" t="s">
        <v>100</v>
      </c>
      <c r="D74" s="147" t="s">
        <v>114</v>
      </c>
      <c r="E74" s="147"/>
      <c r="F74" s="146">
        <f>F75</f>
        <v>0</v>
      </c>
    </row>
    <row r="75" spans="1:6" ht="25.5" hidden="1">
      <c r="A75" s="159" t="s">
        <v>116</v>
      </c>
      <c r="B75" s="147" t="s">
        <v>530</v>
      </c>
      <c r="C75" s="147" t="s">
        <v>100</v>
      </c>
      <c r="D75" s="147" t="s">
        <v>115</v>
      </c>
      <c r="E75" s="147"/>
      <c r="F75" s="146">
        <f>F76</f>
        <v>0</v>
      </c>
    </row>
    <row r="76" spans="1:6" ht="25.5" hidden="1">
      <c r="A76" s="159" t="s">
        <v>228</v>
      </c>
      <c r="B76" s="147" t="s">
        <v>530</v>
      </c>
      <c r="C76" s="147" t="s">
        <v>100</v>
      </c>
      <c r="D76" s="147" t="s">
        <v>115</v>
      </c>
      <c r="E76" s="147">
        <v>200</v>
      </c>
      <c r="F76" s="158">
        <f>30000-30000</f>
        <v>0</v>
      </c>
    </row>
    <row r="77" spans="1:6" ht="12.75">
      <c r="A77" s="159" t="s">
        <v>469</v>
      </c>
      <c r="B77" s="147" t="s">
        <v>530</v>
      </c>
      <c r="C77" s="147" t="s">
        <v>100</v>
      </c>
      <c r="D77" s="147" t="s">
        <v>689</v>
      </c>
      <c r="E77" s="147"/>
      <c r="F77" s="158">
        <f>F78</f>
        <v>334700</v>
      </c>
    </row>
    <row r="78" spans="1:6" ht="12.75">
      <c r="A78" s="159" t="s">
        <v>473</v>
      </c>
      <c r="B78" s="147" t="s">
        <v>530</v>
      </c>
      <c r="C78" s="147" t="s">
        <v>100</v>
      </c>
      <c r="D78" s="147" t="s">
        <v>690</v>
      </c>
      <c r="E78" s="147"/>
      <c r="F78" s="158">
        <f>F79</f>
        <v>334700</v>
      </c>
    </row>
    <row r="79" spans="1:6" ht="38.25">
      <c r="A79" s="159" t="s">
        <v>293</v>
      </c>
      <c r="B79" s="147" t="s">
        <v>530</v>
      </c>
      <c r="C79" s="147" t="s">
        <v>100</v>
      </c>
      <c r="D79" s="147" t="s">
        <v>691</v>
      </c>
      <c r="E79" s="149"/>
      <c r="F79" s="146">
        <f>SUM(F80:F81)</f>
        <v>334700</v>
      </c>
    </row>
    <row r="80" spans="1:6" ht="51">
      <c r="A80" s="159" t="s">
        <v>735</v>
      </c>
      <c r="B80" s="147" t="s">
        <v>530</v>
      </c>
      <c r="C80" s="147" t="s">
        <v>100</v>
      </c>
      <c r="D80" s="147" t="s">
        <v>691</v>
      </c>
      <c r="E80" s="149">
        <v>100</v>
      </c>
      <c r="F80" s="158">
        <f>300582-6234.27</f>
        <v>294347.73</v>
      </c>
    </row>
    <row r="81" spans="1:6" ht="25.5">
      <c r="A81" s="159" t="s">
        <v>228</v>
      </c>
      <c r="B81" s="147" t="s">
        <v>530</v>
      </c>
      <c r="C81" s="147" t="s">
        <v>100</v>
      </c>
      <c r="D81" s="147" t="s">
        <v>691</v>
      </c>
      <c r="E81" s="149">
        <v>200</v>
      </c>
      <c r="F81" s="158">
        <f>34118+6234.27</f>
        <v>40352.270000000004</v>
      </c>
    </row>
    <row r="82" spans="1:6" ht="25.5">
      <c r="A82" s="159" t="s">
        <v>520</v>
      </c>
      <c r="B82" s="147" t="s">
        <v>530</v>
      </c>
      <c r="C82" s="147" t="s">
        <v>100</v>
      </c>
      <c r="D82" s="148" t="s">
        <v>519</v>
      </c>
      <c r="E82" s="147"/>
      <c r="F82" s="146">
        <f>F83</f>
        <v>880900</v>
      </c>
    </row>
    <row r="83" spans="1:6" ht="12.75">
      <c r="A83" s="84" t="s">
        <v>518</v>
      </c>
      <c r="B83" s="147" t="s">
        <v>530</v>
      </c>
      <c r="C83" s="147" t="s">
        <v>100</v>
      </c>
      <c r="D83" s="148" t="s">
        <v>517</v>
      </c>
      <c r="E83" s="147"/>
      <c r="F83" s="146">
        <f>F84</f>
        <v>880900</v>
      </c>
    </row>
    <row r="84" spans="1:6" ht="25.5">
      <c r="A84" s="149" t="s">
        <v>36</v>
      </c>
      <c r="B84" s="147" t="s">
        <v>530</v>
      </c>
      <c r="C84" s="147" t="s">
        <v>100</v>
      </c>
      <c r="D84" s="148" t="s">
        <v>716</v>
      </c>
      <c r="E84" s="147"/>
      <c r="F84" s="146">
        <f>F85</f>
        <v>880900</v>
      </c>
    </row>
    <row r="85" spans="1:6" ht="12.75">
      <c r="A85" s="159" t="s">
        <v>77</v>
      </c>
      <c r="B85" s="147" t="s">
        <v>530</v>
      </c>
      <c r="C85" s="147" t="s">
        <v>100</v>
      </c>
      <c r="D85" s="148" t="s">
        <v>716</v>
      </c>
      <c r="E85" s="147">
        <v>800</v>
      </c>
      <c r="F85" s="158">
        <v>880900</v>
      </c>
    </row>
    <row r="86" spans="1:6" ht="25.5">
      <c r="A86" s="150" t="s">
        <v>626</v>
      </c>
      <c r="B86" s="147" t="s">
        <v>530</v>
      </c>
      <c r="C86" s="147" t="s">
        <v>100</v>
      </c>
      <c r="D86" s="148" t="s">
        <v>14</v>
      </c>
      <c r="E86" s="147" t="s">
        <v>87</v>
      </c>
      <c r="F86" s="146">
        <f>F87</f>
        <v>29014649.5</v>
      </c>
    </row>
    <row r="87" spans="1:6" ht="18.75" customHeight="1">
      <c r="A87" s="84" t="s">
        <v>636</v>
      </c>
      <c r="B87" s="147" t="s">
        <v>530</v>
      </c>
      <c r="C87" s="147" t="s">
        <v>100</v>
      </c>
      <c r="D87" s="160" t="s">
        <v>16</v>
      </c>
      <c r="E87" s="149" t="s">
        <v>87</v>
      </c>
      <c r="F87" s="146">
        <f>F88+F92+F95+F97+F100</f>
        <v>29014649.5</v>
      </c>
    </row>
    <row r="88" spans="1:6" ht="25.5">
      <c r="A88" s="149" t="s">
        <v>494</v>
      </c>
      <c r="B88" s="147" t="s">
        <v>530</v>
      </c>
      <c r="C88" s="147" t="s">
        <v>100</v>
      </c>
      <c r="D88" s="148" t="s">
        <v>17</v>
      </c>
      <c r="E88" s="147" t="s">
        <v>87</v>
      </c>
      <c r="F88" s="146">
        <f>SUM(F89:F91)</f>
        <v>22527525</v>
      </c>
    </row>
    <row r="89" spans="1:6" ht="51">
      <c r="A89" s="159" t="s">
        <v>735</v>
      </c>
      <c r="B89" s="147" t="s">
        <v>530</v>
      </c>
      <c r="C89" s="147" t="s">
        <v>100</v>
      </c>
      <c r="D89" s="148" t="s">
        <v>17</v>
      </c>
      <c r="E89" s="147" t="s">
        <v>592</v>
      </c>
      <c r="F89" s="158">
        <f>15786187+4780058+912033</f>
        <v>21478278</v>
      </c>
    </row>
    <row r="90" spans="1:6" ht="25.5">
      <c r="A90" s="159" t="s">
        <v>228</v>
      </c>
      <c r="B90" s="147" t="s">
        <v>530</v>
      </c>
      <c r="C90" s="147" t="s">
        <v>100</v>
      </c>
      <c r="D90" s="148" t="s">
        <v>17</v>
      </c>
      <c r="E90" s="147" t="s">
        <v>74</v>
      </c>
      <c r="F90" s="158">
        <f>29400+15000+350000+540000+68000-1300-1000</f>
        <v>1000100</v>
      </c>
    </row>
    <row r="91" spans="1:6" ht="12.75">
      <c r="A91" s="159" t="s">
        <v>77</v>
      </c>
      <c r="B91" s="147" t="s">
        <v>530</v>
      </c>
      <c r="C91" s="147" t="s">
        <v>100</v>
      </c>
      <c r="D91" s="148" t="s">
        <v>17</v>
      </c>
      <c r="E91" s="147" t="s">
        <v>78</v>
      </c>
      <c r="F91" s="158">
        <f>46847+1300+1000</f>
        <v>49147</v>
      </c>
    </row>
    <row r="92" spans="1:6" ht="25.5">
      <c r="A92" s="149" t="s">
        <v>36</v>
      </c>
      <c r="B92" s="147" t="s">
        <v>530</v>
      </c>
      <c r="C92" s="147" t="s">
        <v>100</v>
      </c>
      <c r="D92" s="148" t="s">
        <v>341</v>
      </c>
      <c r="E92" s="147"/>
      <c r="F92" s="158">
        <f>F94+F93</f>
        <v>5779774.5</v>
      </c>
    </row>
    <row r="93" spans="1:6" ht="12.75" hidden="1">
      <c r="A93" s="149" t="s">
        <v>81</v>
      </c>
      <c r="B93" s="147" t="s">
        <v>530</v>
      </c>
      <c r="C93" s="147" t="s">
        <v>100</v>
      </c>
      <c r="D93" s="148" t="s">
        <v>341</v>
      </c>
      <c r="E93" s="147">
        <v>300</v>
      </c>
      <c r="F93" s="158"/>
    </row>
    <row r="94" spans="1:6" ht="12.75">
      <c r="A94" s="159" t="s">
        <v>77</v>
      </c>
      <c r="B94" s="147" t="s">
        <v>530</v>
      </c>
      <c r="C94" s="147" t="s">
        <v>100</v>
      </c>
      <c r="D94" s="148" t="s">
        <v>341</v>
      </c>
      <c r="E94" s="147">
        <v>800</v>
      </c>
      <c r="F94" s="158">
        <f>3025131.5+1007604+1747039</f>
        <v>5779774.5</v>
      </c>
    </row>
    <row r="95" spans="1:6" ht="25.5">
      <c r="A95" s="149" t="s">
        <v>464</v>
      </c>
      <c r="B95" s="147" t="s">
        <v>530</v>
      </c>
      <c r="C95" s="147" t="s">
        <v>100</v>
      </c>
      <c r="D95" s="148" t="s">
        <v>18</v>
      </c>
      <c r="E95" s="147" t="s">
        <v>87</v>
      </c>
      <c r="F95" s="146">
        <f>F96</f>
        <v>540000</v>
      </c>
    </row>
    <row r="96" spans="1:6" ht="25.5">
      <c r="A96" s="159" t="s">
        <v>228</v>
      </c>
      <c r="B96" s="147" t="s">
        <v>530</v>
      </c>
      <c r="C96" s="147" t="s">
        <v>100</v>
      </c>
      <c r="D96" s="148" t="s">
        <v>18</v>
      </c>
      <c r="E96" s="148">
        <v>200</v>
      </c>
      <c r="F96" s="158">
        <f>350000-60000+250000</f>
        <v>540000</v>
      </c>
    </row>
    <row r="97" spans="1:6" ht="51">
      <c r="A97" s="6" t="s">
        <v>767</v>
      </c>
      <c r="B97" s="147" t="s">
        <v>530</v>
      </c>
      <c r="C97" s="147" t="s">
        <v>100</v>
      </c>
      <c r="D97" s="148" t="s">
        <v>46</v>
      </c>
      <c r="E97" s="148"/>
      <c r="F97" s="146">
        <f>SUM(F98:F99)</f>
        <v>167350</v>
      </c>
    </row>
    <row r="98" spans="1:6" ht="51">
      <c r="A98" s="159" t="s">
        <v>735</v>
      </c>
      <c r="B98" s="147" t="s">
        <v>530</v>
      </c>
      <c r="C98" s="147" t="s">
        <v>100</v>
      </c>
      <c r="D98" s="148" t="s">
        <v>46</v>
      </c>
      <c r="E98" s="148">
        <v>100</v>
      </c>
      <c r="F98" s="158">
        <f>124992+6234.27</f>
        <v>131226.27</v>
      </c>
    </row>
    <row r="99" spans="1:6" ht="25.5">
      <c r="A99" s="145" t="s">
        <v>228</v>
      </c>
      <c r="B99" s="143" t="s">
        <v>530</v>
      </c>
      <c r="C99" s="143" t="s">
        <v>100</v>
      </c>
      <c r="D99" s="144" t="s">
        <v>46</v>
      </c>
      <c r="E99" s="144">
        <v>200</v>
      </c>
      <c r="F99" s="142">
        <f>42358-6234.27</f>
        <v>36123.729999999996</v>
      </c>
    </row>
    <row r="100" spans="1:6" ht="12.75" customHeight="1" hidden="1">
      <c r="A100" s="170" t="s">
        <v>816</v>
      </c>
      <c r="B100" s="147" t="s">
        <v>530</v>
      </c>
      <c r="C100" s="147" t="s">
        <v>100</v>
      </c>
      <c r="D100" s="144" t="s">
        <v>815</v>
      </c>
      <c r="E100" s="169"/>
      <c r="F100" s="168">
        <f>F101</f>
        <v>0</v>
      </c>
    </row>
    <row r="101" spans="1:6" ht="25.5" customHeight="1" hidden="1">
      <c r="A101" s="145" t="s">
        <v>228</v>
      </c>
      <c r="B101" s="143" t="s">
        <v>530</v>
      </c>
      <c r="C101" s="143" t="s">
        <v>100</v>
      </c>
      <c r="D101" s="144" t="s">
        <v>815</v>
      </c>
      <c r="E101" s="144">
        <v>200</v>
      </c>
      <c r="F101" s="142"/>
    </row>
    <row r="102" spans="1:6" ht="12.75">
      <c r="A102" s="156" t="s">
        <v>522</v>
      </c>
      <c r="B102" s="154" t="s">
        <v>532</v>
      </c>
      <c r="C102" s="155" t="s">
        <v>462</v>
      </c>
      <c r="D102" s="154" t="s">
        <v>87</v>
      </c>
      <c r="E102" s="154" t="s">
        <v>87</v>
      </c>
      <c r="F102" s="161">
        <f>F103</f>
        <v>16200</v>
      </c>
    </row>
    <row r="103" spans="1:6" ht="12.75">
      <c r="A103" s="152" t="s">
        <v>521</v>
      </c>
      <c r="B103" s="151" t="s">
        <v>532</v>
      </c>
      <c r="C103" s="151" t="s">
        <v>533</v>
      </c>
      <c r="D103" s="151" t="s">
        <v>87</v>
      </c>
      <c r="E103" s="151" t="s">
        <v>87</v>
      </c>
      <c r="F103" s="146">
        <f>F104</f>
        <v>16200</v>
      </c>
    </row>
    <row r="104" spans="1:6" ht="25.5">
      <c r="A104" s="159" t="s">
        <v>520</v>
      </c>
      <c r="B104" s="147" t="s">
        <v>532</v>
      </c>
      <c r="C104" s="147" t="s">
        <v>533</v>
      </c>
      <c r="D104" s="148" t="s">
        <v>519</v>
      </c>
      <c r="E104" s="147" t="s">
        <v>87</v>
      </c>
      <c r="F104" s="146">
        <f>F105</f>
        <v>16200</v>
      </c>
    </row>
    <row r="105" spans="1:6" ht="12.75">
      <c r="A105" s="159" t="s">
        <v>518</v>
      </c>
      <c r="B105" s="147" t="s">
        <v>532</v>
      </c>
      <c r="C105" s="147" t="s">
        <v>533</v>
      </c>
      <c r="D105" s="148" t="s">
        <v>517</v>
      </c>
      <c r="E105" s="147"/>
      <c r="F105" s="146">
        <f>F106</f>
        <v>16200</v>
      </c>
    </row>
    <row r="106" spans="1:6" ht="25.5">
      <c r="A106" s="7" t="s">
        <v>516</v>
      </c>
      <c r="B106" s="147" t="s">
        <v>532</v>
      </c>
      <c r="C106" s="147" t="s">
        <v>533</v>
      </c>
      <c r="D106" s="148" t="s">
        <v>515</v>
      </c>
      <c r="E106" s="149" t="s">
        <v>87</v>
      </c>
      <c r="F106" s="146">
        <f>F107</f>
        <v>16200</v>
      </c>
    </row>
    <row r="107" spans="1:6" ht="25.5">
      <c r="A107" s="145" t="s">
        <v>91</v>
      </c>
      <c r="B107" s="143" t="s">
        <v>532</v>
      </c>
      <c r="C107" s="143" t="s">
        <v>533</v>
      </c>
      <c r="D107" s="144" t="s">
        <v>515</v>
      </c>
      <c r="E107" s="143">
        <v>200</v>
      </c>
      <c r="F107" s="142">
        <v>16200</v>
      </c>
    </row>
    <row r="108" spans="1:6" ht="25.5">
      <c r="A108" s="156" t="s">
        <v>472</v>
      </c>
      <c r="B108" s="154" t="s">
        <v>101</v>
      </c>
      <c r="C108" s="155" t="s">
        <v>462</v>
      </c>
      <c r="D108" s="154" t="s">
        <v>87</v>
      </c>
      <c r="E108" s="154" t="s">
        <v>87</v>
      </c>
      <c r="F108" s="161">
        <f>F109</f>
        <v>2771627</v>
      </c>
    </row>
    <row r="109" spans="1:6" ht="25.5">
      <c r="A109" s="152" t="s">
        <v>481</v>
      </c>
      <c r="B109" s="151" t="s">
        <v>101</v>
      </c>
      <c r="C109" s="151">
        <v>10</v>
      </c>
      <c r="D109" s="151" t="s">
        <v>87</v>
      </c>
      <c r="E109" s="151" t="s">
        <v>87</v>
      </c>
      <c r="F109" s="146">
        <f>F110</f>
        <v>2771627</v>
      </c>
    </row>
    <row r="110" spans="1:6" ht="51">
      <c r="A110" s="150" t="s">
        <v>482</v>
      </c>
      <c r="B110" s="147" t="s">
        <v>101</v>
      </c>
      <c r="C110" s="147">
        <v>10</v>
      </c>
      <c r="D110" s="148" t="s">
        <v>19</v>
      </c>
      <c r="E110" s="147" t="s">
        <v>87</v>
      </c>
      <c r="F110" s="146">
        <f>F111+F120</f>
        <v>2771627</v>
      </c>
    </row>
    <row r="111" spans="1:6" ht="76.5">
      <c r="A111" s="84" t="s">
        <v>294</v>
      </c>
      <c r="B111" s="147" t="s">
        <v>101</v>
      </c>
      <c r="C111" s="147">
        <v>10</v>
      </c>
      <c r="D111" s="148" t="s">
        <v>883</v>
      </c>
      <c r="E111" s="147"/>
      <c r="F111" s="146">
        <f>F112+F117</f>
        <v>2771627</v>
      </c>
    </row>
    <row r="112" spans="1:6" ht="51">
      <c r="A112" s="7" t="s">
        <v>928</v>
      </c>
      <c r="B112" s="147" t="s">
        <v>101</v>
      </c>
      <c r="C112" s="147">
        <v>10</v>
      </c>
      <c r="D112" s="148" t="s">
        <v>932</v>
      </c>
      <c r="E112" s="147"/>
      <c r="F112" s="146">
        <f>F113+F122</f>
        <v>2671627</v>
      </c>
    </row>
    <row r="113" spans="1:6" ht="25.5">
      <c r="A113" s="149" t="s">
        <v>494</v>
      </c>
      <c r="B113" s="147" t="s">
        <v>101</v>
      </c>
      <c r="C113" s="147">
        <v>10</v>
      </c>
      <c r="D113" s="148" t="s">
        <v>927</v>
      </c>
      <c r="E113" s="147" t="s">
        <v>87</v>
      </c>
      <c r="F113" s="146">
        <f>SUM(F114:F116)</f>
        <v>2671627</v>
      </c>
    </row>
    <row r="114" spans="1:6" ht="51">
      <c r="A114" s="159" t="s">
        <v>735</v>
      </c>
      <c r="B114" s="147" t="s">
        <v>101</v>
      </c>
      <c r="C114" s="147">
        <v>10</v>
      </c>
      <c r="D114" s="148" t="s">
        <v>927</v>
      </c>
      <c r="E114" s="147" t="s">
        <v>592</v>
      </c>
      <c r="F114" s="158">
        <f>1859974+561712-63297+126593</f>
        <v>2484982</v>
      </c>
    </row>
    <row r="115" spans="1:6" ht="25.5">
      <c r="A115" s="159" t="s">
        <v>228</v>
      </c>
      <c r="B115" s="147" t="s">
        <v>101</v>
      </c>
      <c r="C115" s="147">
        <v>10</v>
      </c>
      <c r="D115" s="148" t="s">
        <v>927</v>
      </c>
      <c r="E115" s="147" t="s">
        <v>74</v>
      </c>
      <c r="F115" s="158">
        <v>185445</v>
      </c>
    </row>
    <row r="116" spans="1:6" ht="12.75">
      <c r="A116" s="145" t="s">
        <v>77</v>
      </c>
      <c r="B116" s="143" t="s">
        <v>101</v>
      </c>
      <c r="C116" s="143">
        <v>10</v>
      </c>
      <c r="D116" s="148" t="s">
        <v>927</v>
      </c>
      <c r="E116" s="143" t="s">
        <v>78</v>
      </c>
      <c r="F116" s="142">
        <v>1200</v>
      </c>
    </row>
    <row r="117" spans="1:6" ht="38.25">
      <c r="A117" s="159" t="s">
        <v>882</v>
      </c>
      <c r="B117" s="143" t="s">
        <v>101</v>
      </c>
      <c r="C117" s="143" t="s">
        <v>554</v>
      </c>
      <c r="D117" s="144" t="s">
        <v>884</v>
      </c>
      <c r="E117" s="143"/>
      <c r="F117" s="146">
        <f>F118</f>
        <v>100000</v>
      </c>
    </row>
    <row r="118" spans="1:6" ht="25.5">
      <c r="A118" s="159" t="s">
        <v>271</v>
      </c>
      <c r="B118" s="143" t="s">
        <v>101</v>
      </c>
      <c r="C118" s="143" t="s">
        <v>554</v>
      </c>
      <c r="D118" s="144" t="s">
        <v>885</v>
      </c>
      <c r="E118" s="143"/>
      <c r="F118" s="146">
        <f>F119</f>
        <v>100000</v>
      </c>
    </row>
    <row r="119" spans="1:6" ht="25.5">
      <c r="A119" s="159" t="s">
        <v>151</v>
      </c>
      <c r="B119" s="143" t="s">
        <v>101</v>
      </c>
      <c r="C119" s="143" t="s">
        <v>554</v>
      </c>
      <c r="D119" s="144" t="s">
        <v>885</v>
      </c>
      <c r="E119" s="143" t="s">
        <v>74</v>
      </c>
      <c r="F119" s="142">
        <v>100000</v>
      </c>
    </row>
    <row r="120" spans="1:6" ht="63.75" customHeight="1" hidden="1">
      <c r="A120" s="84" t="s">
        <v>929</v>
      </c>
      <c r="B120" s="147" t="s">
        <v>101</v>
      </c>
      <c r="C120" s="147">
        <v>10</v>
      </c>
      <c r="D120" s="148" t="s">
        <v>20</v>
      </c>
      <c r="E120" s="147"/>
      <c r="F120" s="168">
        <f>F121</f>
        <v>0</v>
      </c>
    </row>
    <row r="121" spans="1:6" ht="25.5" customHeight="1" hidden="1">
      <c r="A121" s="159" t="s">
        <v>930</v>
      </c>
      <c r="B121" s="147" t="s">
        <v>101</v>
      </c>
      <c r="C121" s="147">
        <v>10</v>
      </c>
      <c r="D121" s="144" t="s">
        <v>25</v>
      </c>
      <c r="E121" s="396"/>
      <c r="F121" s="168">
        <f>F122</f>
        <v>0</v>
      </c>
    </row>
    <row r="122" spans="1:6" ht="25.5" customHeight="1" hidden="1">
      <c r="A122" s="159" t="s">
        <v>869</v>
      </c>
      <c r="B122" s="143" t="s">
        <v>101</v>
      </c>
      <c r="C122" s="143">
        <v>10</v>
      </c>
      <c r="D122" s="144" t="s">
        <v>870</v>
      </c>
      <c r="E122" s="147"/>
      <c r="F122" s="158">
        <f>F123</f>
        <v>0</v>
      </c>
    </row>
    <row r="123" spans="1:6" ht="25.5" customHeight="1" hidden="1">
      <c r="A123" s="159" t="s">
        <v>228</v>
      </c>
      <c r="B123" s="143" t="s">
        <v>101</v>
      </c>
      <c r="C123" s="143">
        <v>10</v>
      </c>
      <c r="D123" s="144" t="s">
        <v>870</v>
      </c>
      <c r="E123" s="147">
        <v>200</v>
      </c>
      <c r="F123" s="158"/>
    </row>
    <row r="124" spans="1:6" ht="12.75">
      <c r="A124" s="156" t="s">
        <v>723</v>
      </c>
      <c r="B124" s="154" t="s">
        <v>533</v>
      </c>
      <c r="C124" s="155" t="s">
        <v>462</v>
      </c>
      <c r="D124" s="154" t="s">
        <v>87</v>
      </c>
      <c r="E124" s="154" t="s">
        <v>87</v>
      </c>
      <c r="F124" s="161">
        <f>F125+F142+F161+F136</f>
        <v>64167877.15</v>
      </c>
    </row>
    <row r="125" spans="1:6" ht="12.75">
      <c r="A125" s="152" t="s">
        <v>724</v>
      </c>
      <c r="B125" s="151" t="s">
        <v>533</v>
      </c>
      <c r="C125" s="151" t="s">
        <v>530</v>
      </c>
      <c r="D125" s="151" t="s">
        <v>87</v>
      </c>
      <c r="E125" s="151" t="s">
        <v>87</v>
      </c>
      <c r="F125" s="146">
        <f>F126</f>
        <v>423000</v>
      </c>
    </row>
    <row r="126" spans="1:6" ht="25.5">
      <c r="A126" s="150" t="s">
        <v>702</v>
      </c>
      <c r="B126" s="147" t="s">
        <v>533</v>
      </c>
      <c r="C126" s="147" t="s">
        <v>530</v>
      </c>
      <c r="D126" s="148" t="s">
        <v>21</v>
      </c>
      <c r="E126" s="147" t="s">
        <v>87</v>
      </c>
      <c r="F126" s="146">
        <f>F127+F131</f>
        <v>423000</v>
      </c>
    </row>
    <row r="127" spans="1:6" ht="38.25">
      <c r="A127" s="84" t="s">
        <v>584</v>
      </c>
      <c r="B127" s="147" t="s">
        <v>533</v>
      </c>
      <c r="C127" s="147" t="s">
        <v>530</v>
      </c>
      <c r="D127" s="148" t="s">
        <v>22</v>
      </c>
      <c r="E127" s="147"/>
      <c r="F127" s="146">
        <f>F128</f>
        <v>88300</v>
      </c>
    </row>
    <row r="128" spans="1:6" ht="38.25">
      <c r="A128" s="335" t="s">
        <v>514</v>
      </c>
      <c r="B128" s="147" t="s">
        <v>533</v>
      </c>
      <c r="C128" s="147" t="s">
        <v>530</v>
      </c>
      <c r="D128" s="148" t="s">
        <v>23</v>
      </c>
      <c r="E128" s="147"/>
      <c r="F128" s="146">
        <f>F129</f>
        <v>88300</v>
      </c>
    </row>
    <row r="129" spans="1:6" ht="25.5">
      <c r="A129" s="159" t="s">
        <v>701</v>
      </c>
      <c r="B129" s="147" t="s">
        <v>533</v>
      </c>
      <c r="C129" s="147" t="s">
        <v>530</v>
      </c>
      <c r="D129" s="148" t="s">
        <v>24</v>
      </c>
      <c r="E129" s="147"/>
      <c r="F129" s="146">
        <f>F130</f>
        <v>88300</v>
      </c>
    </row>
    <row r="130" spans="1:6" ht="25.5">
      <c r="A130" s="159" t="s">
        <v>90</v>
      </c>
      <c r="B130" s="147" t="s">
        <v>533</v>
      </c>
      <c r="C130" s="147" t="s">
        <v>530</v>
      </c>
      <c r="D130" s="148" t="s">
        <v>24</v>
      </c>
      <c r="E130" s="147">
        <v>600</v>
      </c>
      <c r="F130" s="158">
        <f>67819+20481</f>
        <v>88300</v>
      </c>
    </row>
    <row r="131" spans="1:6" ht="38.25">
      <c r="A131" s="84" t="s">
        <v>585</v>
      </c>
      <c r="B131" s="147" t="s">
        <v>533</v>
      </c>
      <c r="C131" s="147" t="s">
        <v>530</v>
      </c>
      <c r="D131" s="148" t="s">
        <v>26</v>
      </c>
      <c r="E131" s="147"/>
      <c r="F131" s="146">
        <f>F132</f>
        <v>334700</v>
      </c>
    </row>
    <row r="132" spans="1:6" ht="38.25">
      <c r="A132" s="7" t="s">
        <v>453</v>
      </c>
      <c r="B132" s="147" t="s">
        <v>533</v>
      </c>
      <c r="C132" s="147" t="s">
        <v>530</v>
      </c>
      <c r="D132" s="148" t="s">
        <v>27</v>
      </c>
      <c r="E132" s="147"/>
      <c r="F132" s="146">
        <f>F133</f>
        <v>334700</v>
      </c>
    </row>
    <row r="133" spans="1:6" ht="25.5">
      <c r="A133" s="149" t="s">
        <v>470</v>
      </c>
      <c r="B133" s="147" t="s">
        <v>533</v>
      </c>
      <c r="C133" s="147" t="s">
        <v>530</v>
      </c>
      <c r="D133" s="148" t="s">
        <v>28</v>
      </c>
      <c r="E133" s="147" t="s">
        <v>87</v>
      </c>
      <c r="F133" s="146">
        <f>SUM(F134:F135)</f>
        <v>334700</v>
      </c>
    </row>
    <row r="134" spans="1:6" ht="51">
      <c r="A134" s="159" t="s">
        <v>735</v>
      </c>
      <c r="B134" s="147" t="s">
        <v>533</v>
      </c>
      <c r="C134" s="147" t="s">
        <v>530</v>
      </c>
      <c r="D134" s="148" t="s">
        <v>28</v>
      </c>
      <c r="E134" s="147">
        <v>100</v>
      </c>
      <c r="F134" s="158">
        <f>321700-46176.49</f>
        <v>275523.51</v>
      </c>
    </row>
    <row r="135" spans="1:6" ht="25.5">
      <c r="A135" s="159" t="s">
        <v>228</v>
      </c>
      <c r="B135" s="147" t="s">
        <v>533</v>
      </c>
      <c r="C135" s="147" t="s">
        <v>530</v>
      </c>
      <c r="D135" s="148" t="s">
        <v>28</v>
      </c>
      <c r="E135" s="147">
        <v>200</v>
      </c>
      <c r="F135" s="158">
        <f>13000+46176.49</f>
        <v>59176.49</v>
      </c>
    </row>
    <row r="136" spans="1:6" ht="12.75">
      <c r="A136" s="152" t="s">
        <v>886</v>
      </c>
      <c r="B136" s="151" t="s">
        <v>533</v>
      </c>
      <c r="C136" s="151" t="s">
        <v>553</v>
      </c>
      <c r="D136" s="151"/>
      <c r="E136" s="151"/>
      <c r="F136" s="146">
        <f>F137</f>
        <v>1513276.15</v>
      </c>
    </row>
    <row r="137" spans="1:6" ht="51.75" customHeight="1">
      <c r="A137" s="150" t="s">
        <v>478</v>
      </c>
      <c r="B137" s="147" t="s">
        <v>533</v>
      </c>
      <c r="C137" s="147" t="s">
        <v>553</v>
      </c>
      <c r="D137" s="148" t="s">
        <v>890</v>
      </c>
      <c r="E137" s="147"/>
      <c r="F137" s="146">
        <f>F138</f>
        <v>1513276.15</v>
      </c>
    </row>
    <row r="138" spans="1:6" ht="25.5">
      <c r="A138" s="84" t="s">
        <v>887</v>
      </c>
      <c r="B138" s="147" t="s">
        <v>533</v>
      </c>
      <c r="C138" s="147" t="s">
        <v>553</v>
      </c>
      <c r="D138" s="148" t="s">
        <v>891</v>
      </c>
      <c r="E138" s="147"/>
      <c r="F138" s="146">
        <f>F139</f>
        <v>1513276.15</v>
      </c>
    </row>
    <row r="139" spans="1:6" ht="38.25">
      <c r="A139" s="159" t="s">
        <v>888</v>
      </c>
      <c r="B139" s="147" t="s">
        <v>533</v>
      </c>
      <c r="C139" s="147" t="s">
        <v>553</v>
      </c>
      <c r="D139" s="148" t="s">
        <v>892</v>
      </c>
      <c r="E139" s="147"/>
      <c r="F139" s="158">
        <f>F140</f>
        <v>1513276.15</v>
      </c>
    </row>
    <row r="140" spans="1:6" ht="12.75">
      <c r="A140" s="159" t="s">
        <v>889</v>
      </c>
      <c r="B140" s="147" t="s">
        <v>533</v>
      </c>
      <c r="C140" s="147" t="s">
        <v>553</v>
      </c>
      <c r="D140" s="148" t="s">
        <v>893</v>
      </c>
      <c r="E140" s="147"/>
      <c r="F140" s="158">
        <f>F141</f>
        <v>1513276.15</v>
      </c>
    </row>
    <row r="141" spans="1:6" ht="25.5">
      <c r="A141" s="159" t="s">
        <v>228</v>
      </c>
      <c r="B141" s="147" t="s">
        <v>533</v>
      </c>
      <c r="C141" s="147" t="s">
        <v>553</v>
      </c>
      <c r="D141" s="148" t="s">
        <v>893</v>
      </c>
      <c r="E141" s="147" t="s">
        <v>74</v>
      </c>
      <c r="F141" s="158">
        <v>1513276.15</v>
      </c>
    </row>
    <row r="142" spans="1:6" ht="12.75">
      <c r="A142" s="152" t="s">
        <v>86</v>
      </c>
      <c r="B142" s="151" t="s">
        <v>533</v>
      </c>
      <c r="C142" s="151" t="s">
        <v>102</v>
      </c>
      <c r="D142" s="151" t="s">
        <v>87</v>
      </c>
      <c r="E142" s="151" t="s">
        <v>87</v>
      </c>
      <c r="F142" s="146">
        <f>F143</f>
        <v>61831601</v>
      </c>
    </row>
    <row r="143" spans="1:6" ht="50.25" customHeight="1">
      <c r="A143" s="150" t="s">
        <v>478</v>
      </c>
      <c r="B143" s="147" t="s">
        <v>533</v>
      </c>
      <c r="C143" s="147" t="s">
        <v>102</v>
      </c>
      <c r="D143" s="148" t="s">
        <v>29</v>
      </c>
      <c r="E143" s="147" t="s">
        <v>87</v>
      </c>
      <c r="F143" s="146">
        <f>F144+F157</f>
        <v>61831601</v>
      </c>
    </row>
    <row r="144" spans="1:6" ht="63.75">
      <c r="A144" s="84" t="s">
        <v>47</v>
      </c>
      <c r="B144" s="147" t="s">
        <v>533</v>
      </c>
      <c r="C144" s="147" t="s">
        <v>102</v>
      </c>
      <c r="D144" s="160" t="s">
        <v>233</v>
      </c>
      <c r="E144" s="149" t="s">
        <v>87</v>
      </c>
      <c r="F144" s="146">
        <f>F145+F149+F154</f>
        <v>61631329</v>
      </c>
    </row>
    <row r="145" spans="1:6" ht="25.5">
      <c r="A145" s="11" t="s">
        <v>232</v>
      </c>
      <c r="B145" s="147" t="s">
        <v>533</v>
      </c>
      <c r="C145" s="147" t="s">
        <v>102</v>
      </c>
      <c r="D145" s="148" t="s">
        <v>231</v>
      </c>
      <c r="E145" s="149"/>
      <c r="F145" s="146">
        <f>F146</f>
        <v>1069302.67</v>
      </c>
    </row>
    <row r="146" spans="1:6" ht="25.5">
      <c r="A146" s="7" t="s">
        <v>31</v>
      </c>
      <c r="B146" s="147" t="s">
        <v>533</v>
      </c>
      <c r="C146" s="147" t="s">
        <v>102</v>
      </c>
      <c r="D146" s="148" t="s">
        <v>230</v>
      </c>
      <c r="E146" s="149"/>
      <c r="F146" s="146">
        <f>F147+F148</f>
        <v>1069302.67</v>
      </c>
    </row>
    <row r="147" spans="1:6" ht="25.5" customHeight="1" hidden="1">
      <c r="A147" s="87" t="s">
        <v>228</v>
      </c>
      <c r="B147" s="147" t="s">
        <v>533</v>
      </c>
      <c r="C147" s="147" t="s">
        <v>102</v>
      </c>
      <c r="D147" s="148" t="s">
        <v>230</v>
      </c>
      <c r="E147" s="149">
        <v>200</v>
      </c>
      <c r="F147" s="158"/>
    </row>
    <row r="148" spans="1:6" ht="12.75">
      <c r="A148" s="159" t="s">
        <v>77</v>
      </c>
      <c r="B148" s="147" t="s">
        <v>533</v>
      </c>
      <c r="C148" s="147" t="s">
        <v>102</v>
      </c>
      <c r="D148" s="148" t="s">
        <v>230</v>
      </c>
      <c r="E148" s="149">
        <v>800</v>
      </c>
      <c r="F148" s="158">
        <f>526074.67-200272+743500-200272+200272</f>
        <v>1069302.67</v>
      </c>
    </row>
    <row r="149" spans="1:6" ht="25.5">
      <c r="A149" s="335" t="s">
        <v>229</v>
      </c>
      <c r="B149" s="147" t="s">
        <v>533</v>
      </c>
      <c r="C149" s="147" t="s">
        <v>102</v>
      </c>
      <c r="D149" s="148" t="s">
        <v>250</v>
      </c>
      <c r="E149" s="149"/>
      <c r="F149" s="146">
        <f>F152+F150</f>
        <v>60562026.33</v>
      </c>
    </row>
    <row r="150" spans="1:6" ht="38.25">
      <c r="A150" s="104" t="s">
        <v>628</v>
      </c>
      <c r="B150" s="105" t="s">
        <v>533</v>
      </c>
      <c r="C150" s="105" t="s">
        <v>102</v>
      </c>
      <c r="D150" s="106" t="s">
        <v>148</v>
      </c>
      <c r="E150" s="107"/>
      <c r="F150" s="146">
        <f>F151</f>
        <v>57294342</v>
      </c>
    </row>
    <row r="151" spans="1:6" ht="25.5">
      <c r="A151" s="108" t="s">
        <v>228</v>
      </c>
      <c r="B151" s="105" t="s">
        <v>533</v>
      </c>
      <c r="C151" s="105" t="s">
        <v>102</v>
      </c>
      <c r="D151" s="106" t="s">
        <v>148</v>
      </c>
      <c r="E151" s="109">
        <v>200</v>
      </c>
      <c r="F151" s="146">
        <v>57294342</v>
      </c>
    </row>
    <row r="152" spans="1:6" ht="38.25">
      <c r="A152" s="49" t="s">
        <v>628</v>
      </c>
      <c r="B152" s="147" t="s">
        <v>533</v>
      </c>
      <c r="C152" s="147" t="s">
        <v>102</v>
      </c>
      <c r="D152" s="110" t="s">
        <v>627</v>
      </c>
      <c r="E152" s="147" t="s">
        <v>87</v>
      </c>
      <c r="F152" s="146">
        <f>F153</f>
        <v>3267684.33</v>
      </c>
    </row>
    <row r="153" spans="1:6" ht="25.5">
      <c r="A153" s="159" t="s">
        <v>228</v>
      </c>
      <c r="B153" s="147" t="s">
        <v>533</v>
      </c>
      <c r="C153" s="147" t="s">
        <v>102</v>
      </c>
      <c r="D153" s="110" t="s">
        <v>627</v>
      </c>
      <c r="E153" s="147">
        <v>200</v>
      </c>
      <c r="F153" s="158">
        <f>1864997.33+533098+567572+101745+200272</f>
        <v>3267684.33</v>
      </c>
    </row>
    <row r="154" spans="1:6" ht="38.25" customHeight="1" hidden="1">
      <c r="A154" s="159" t="s">
        <v>65</v>
      </c>
      <c r="B154" s="147" t="s">
        <v>533</v>
      </c>
      <c r="C154" s="147" t="s">
        <v>102</v>
      </c>
      <c r="D154" s="148" t="s">
        <v>66</v>
      </c>
      <c r="E154" s="147"/>
      <c r="F154" s="146">
        <f>F155</f>
        <v>0</v>
      </c>
    </row>
    <row r="155" spans="1:6" ht="24" customHeight="1" hidden="1">
      <c r="A155" s="336" t="s">
        <v>744</v>
      </c>
      <c r="B155" s="147" t="s">
        <v>533</v>
      </c>
      <c r="C155" s="147" t="s">
        <v>102</v>
      </c>
      <c r="D155" s="148" t="s">
        <v>745</v>
      </c>
      <c r="E155" s="147"/>
      <c r="F155" s="146">
        <f>F156</f>
        <v>0</v>
      </c>
    </row>
    <row r="156" spans="1:6" ht="25.5" customHeight="1" hidden="1">
      <c r="A156" s="159" t="s">
        <v>221</v>
      </c>
      <c r="B156" s="147" t="s">
        <v>533</v>
      </c>
      <c r="C156" s="147" t="s">
        <v>102</v>
      </c>
      <c r="D156" s="148" t="s">
        <v>745</v>
      </c>
      <c r="E156" s="147">
        <v>400</v>
      </c>
      <c r="F156" s="158"/>
    </row>
    <row r="157" spans="1:6" ht="63.75">
      <c r="A157" s="84" t="s">
        <v>260</v>
      </c>
      <c r="B157" s="147" t="s">
        <v>533</v>
      </c>
      <c r="C157" s="147" t="s">
        <v>102</v>
      </c>
      <c r="D157" s="160" t="s">
        <v>30</v>
      </c>
      <c r="E157" s="147"/>
      <c r="F157" s="146">
        <f>F158</f>
        <v>200272</v>
      </c>
    </row>
    <row r="158" spans="1:6" ht="51">
      <c r="A158" s="335" t="s">
        <v>99</v>
      </c>
      <c r="B158" s="147" t="s">
        <v>533</v>
      </c>
      <c r="C158" s="147" t="s">
        <v>102</v>
      </c>
      <c r="D158" s="148" t="s">
        <v>449</v>
      </c>
      <c r="E158" s="147"/>
      <c r="F158" s="146">
        <f>F159</f>
        <v>200272</v>
      </c>
    </row>
    <row r="159" spans="1:6" ht="38.25">
      <c r="A159" s="7" t="s">
        <v>629</v>
      </c>
      <c r="B159" s="147" t="s">
        <v>533</v>
      </c>
      <c r="C159" s="147" t="s">
        <v>102</v>
      </c>
      <c r="D159" s="148" t="s">
        <v>347</v>
      </c>
      <c r="E159" s="147"/>
      <c r="F159" s="146">
        <f>F160</f>
        <v>200272</v>
      </c>
    </row>
    <row r="160" spans="1:6" ht="12.75">
      <c r="A160" s="159" t="s">
        <v>77</v>
      </c>
      <c r="B160" s="147" t="s">
        <v>533</v>
      </c>
      <c r="C160" s="147" t="s">
        <v>102</v>
      </c>
      <c r="D160" s="148" t="s">
        <v>347</v>
      </c>
      <c r="E160" s="147">
        <v>800</v>
      </c>
      <c r="F160" s="158">
        <f>200272+200272-200272</f>
        <v>200272</v>
      </c>
    </row>
    <row r="161" spans="1:6" ht="12.75">
      <c r="A161" s="84" t="s">
        <v>551</v>
      </c>
      <c r="B161" s="151" t="s">
        <v>533</v>
      </c>
      <c r="C161" s="151">
        <v>12</v>
      </c>
      <c r="D161" s="160"/>
      <c r="E161" s="151"/>
      <c r="F161" s="146">
        <f>F162+F166</f>
        <v>400000</v>
      </c>
    </row>
    <row r="162" spans="1:6" ht="38.25" hidden="1">
      <c r="A162" s="150" t="s">
        <v>48</v>
      </c>
      <c r="B162" s="147" t="s">
        <v>533</v>
      </c>
      <c r="C162" s="147">
        <v>12</v>
      </c>
      <c r="D162" s="148" t="s">
        <v>630</v>
      </c>
      <c r="E162" s="147"/>
      <c r="F162" s="146">
        <f>F163</f>
        <v>0</v>
      </c>
    </row>
    <row r="163" spans="1:6" ht="25.5" hidden="1">
      <c r="A163" s="7" t="s">
        <v>949</v>
      </c>
      <c r="B163" s="147" t="s">
        <v>533</v>
      </c>
      <c r="C163" s="147">
        <v>12</v>
      </c>
      <c r="D163" s="148" t="s">
        <v>632</v>
      </c>
      <c r="E163" s="147"/>
      <c r="F163" s="146">
        <f>F164</f>
        <v>0</v>
      </c>
    </row>
    <row r="164" spans="1:6" ht="25.5" hidden="1">
      <c r="A164" s="7" t="s">
        <v>631</v>
      </c>
      <c r="B164" s="147" t="s">
        <v>533</v>
      </c>
      <c r="C164" s="147">
        <v>12</v>
      </c>
      <c r="D164" s="148" t="s">
        <v>98</v>
      </c>
      <c r="E164" s="147"/>
      <c r="F164" s="146">
        <f>F165</f>
        <v>0</v>
      </c>
    </row>
    <row r="165" spans="1:6" ht="12.75" hidden="1">
      <c r="A165" s="159" t="s">
        <v>77</v>
      </c>
      <c r="B165" s="147" t="s">
        <v>533</v>
      </c>
      <c r="C165" s="147">
        <v>12</v>
      </c>
      <c r="D165" s="148" t="s">
        <v>98</v>
      </c>
      <c r="E165" s="147">
        <v>800</v>
      </c>
      <c r="F165" s="158">
        <f>20000+35000-55000</f>
        <v>0</v>
      </c>
    </row>
    <row r="166" spans="1:6" ht="25.5">
      <c r="A166" s="88" t="s">
        <v>626</v>
      </c>
      <c r="B166" s="85" t="s">
        <v>533</v>
      </c>
      <c r="C166" s="85">
        <v>12</v>
      </c>
      <c r="D166" s="110" t="s">
        <v>14</v>
      </c>
      <c r="E166" s="85"/>
      <c r="F166" s="91">
        <f>F167</f>
        <v>400000</v>
      </c>
    </row>
    <row r="167" spans="1:6" ht="19.5" customHeight="1">
      <c r="A167" s="89" t="s">
        <v>636</v>
      </c>
      <c r="B167" s="85" t="s">
        <v>533</v>
      </c>
      <c r="C167" s="85">
        <v>12</v>
      </c>
      <c r="D167" s="90" t="s">
        <v>16</v>
      </c>
      <c r="E167" s="85"/>
      <c r="F167" s="91">
        <f>F168+F170</f>
        <v>400000</v>
      </c>
    </row>
    <row r="168" spans="1:6" ht="25.5">
      <c r="A168" s="87" t="s">
        <v>96</v>
      </c>
      <c r="B168" s="85" t="s">
        <v>533</v>
      </c>
      <c r="C168" s="85">
        <v>12</v>
      </c>
      <c r="D168" s="110" t="s">
        <v>97</v>
      </c>
      <c r="E168" s="85"/>
      <c r="F168" s="91">
        <f>F169</f>
        <v>400000</v>
      </c>
    </row>
    <row r="169" spans="1:6" ht="25.5">
      <c r="A169" s="87" t="s">
        <v>228</v>
      </c>
      <c r="B169" s="85" t="s">
        <v>533</v>
      </c>
      <c r="C169" s="85">
        <v>12</v>
      </c>
      <c r="D169" s="110" t="s">
        <v>97</v>
      </c>
      <c r="E169" s="85">
        <v>200</v>
      </c>
      <c r="F169" s="91">
        <v>400000</v>
      </c>
    </row>
    <row r="170" spans="1:6" ht="25.5" hidden="1">
      <c r="A170" s="149" t="s">
        <v>36</v>
      </c>
      <c r="B170" s="85" t="s">
        <v>533</v>
      </c>
      <c r="C170" s="85">
        <v>12</v>
      </c>
      <c r="D170" s="110" t="s">
        <v>341</v>
      </c>
      <c r="E170" s="85"/>
      <c r="F170" s="91">
        <f>F171</f>
        <v>0</v>
      </c>
    </row>
    <row r="171" spans="1:6" ht="25.5" hidden="1">
      <c r="A171" s="87" t="s">
        <v>228</v>
      </c>
      <c r="B171" s="85" t="s">
        <v>533</v>
      </c>
      <c r="C171" s="85">
        <v>12</v>
      </c>
      <c r="D171" s="110" t="s">
        <v>341</v>
      </c>
      <c r="E171" s="85">
        <v>200</v>
      </c>
      <c r="F171" s="91">
        <f>141667+150000-35000-256667</f>
        <v>0</v>
      </c>
    </row>
    <row r="172" spans="1:6" ht="12.75">
      <c r="A172" s="156" t="s">
        <v>538</v>
      </c>
      <c r="B172" s="154" t="s">
        <v>653</v>
      </c>
      <c r="C172" s="155" t="s">
        <v>462</v>
      </c>
      <c r="D172" s="154" t="s">
        <v>87</v>
      </c>
      <c r="E172" s="154" t="s">
        <v>87</v>
      </c>
      <c r="F172" s="161">
        <f>F173+F199+F193</f>
        <v>87664320.34</v>
      </c>
    </row>
    <row r="173" spans="1:6" ht="12.75">
      <c r="A173" s="152" t="s">
        <v>235</v>
      </c>
      <c r="B173" s="151" t="s">
        <v>653</v>
      </c>
      <c r="C173" s="167" t="s">
        <v>530</v>
      </c>
      <c r="D173" s="166"/>
      <c r="E173" s="166"/>
      <c r="F173" s="146">
        <f>F174</f>
        <v>70086376.36</v>
      </c>
    </row>
    <row r="174" spans="1:6" ht="51">
      <c r="A174" s="150" t="s">
        <v>479</v>
      </c>
      <c r="B174" s="147" t="s">
        <v>653</v>
      </c>
      <c r="C174" s="163" t="s">
        <v>530</v>
      </c>
      <c r="D174" s="148" t="s">
        <v>32</v>
      </c>
      <c r="E174" s="166"/>
      <c r="F174" s="146">
        <f>F175+F189</f>
        <v>70086376.36</v>
      </c>
    </row>
    <row r="175" spans="1:6" ht="76.5">
      <c r="A175" s="84" t="s">
        <v>215</v>
      </c>
      <c r="B175" s="147" t="s">
        <v>653</v>
      </c>
      <c r="C175" s="163" t="s">
        <v>530</v>
      </c>
      <c r="D175" s="148" t="s">
        <v>216</v>
      </c>
      <c r="E175" s="166"/>
      <c r="F175" s="146">
        <f>F179+F176+F186</f>
        <v>69423376.36</v>
      </c>
    </row>
    <row r="176" spans="1:6" ht="22.5">
      <c r="A176" s="484" t="s">
        <v>998</v>
      </c>
      <c r="B176" s="147" t="s">
        <v>653</v>
      </c>
      <c r="C176" s="163" t="s">
        <v>530</v>
      </c>
      <c r="D176" s="148" t="s">
        <v>218</v>
      </c>
      <c r="E176" s="166"/>
      <c r="F176" s="146">
        <f>F177</f>
        <v>30000</v>
      </c>
    </row>
    <row r="177" spans="1:6" ht="22.5">
      <c r="A177" s="485" t="s">
        <v>999</v>
      </c>
      <c r="B177" s="147" t="s">
        <v>653</v>
      </c>
      <c r="C177" s="163" t="s">
        <v>530</v>
      </c>
      <c r="D177" s="148" t="s">
        <v>1000</v>
      </c>
      <c r="E177" s="166"/>
      <c r="F177" s="146">
        <f>F178</f>
        <v>30000</v>
      </c>
    </row>
    <row r="178" spans="1:6" ht="25.5">
      <c r="A178" s="486" t="s">
        <v>228</v>
      </c>
      <c r="B178" s="147" t="s">
        <v>653</v>
      </c>
      <c r="C178" s="163" t="s">
        <v>530</v>
      </c>
      <c r="D178" s="148" t="s">
        <v>1000</v>
      </c>
      <c r="E178" s="147">
        <v>200</v>
      </c>
      <c r="F178" s="146">
        <v>30000</v>
      </c>
    </row>
    <row r="179" spans="1:6" ht="30.75" customHeight="1">
      <c r="A179" s="337" t="s">
        <v>749</v>
      </c>
      <c r="B179" s="147" t="s">
        <v>653</v>
      </c>
      <c r="C179" s="163" t="s">
        <v>530</v>
      </c>
      <c r="D179" s="148" t="s">
        <v>64</v>
      </c>
      <c r="E179" s="166"/>
      <c r="F179" s="146">
        <f>F180+F182+F184</f>
        <v>69303376.36</v>
      </c>
    </row>
    <row r="180" spans="1:6" ht="38.25">
      <c r="A180" s="337" t="s">
        <v>92</v>
      </c>
      <c r="B180" s="147" t="s">
        <v>653</v>
      </c>
      <c r="C180" s="163" t="s">
        <v>530</v>
      </c>
      <c r="D180" s="148" t="s">
        <v>705</v>
      </c>
      <c r="E180" s="166"/>
      <c r="F180" s="146">
        <f>F181</f>
        <v>35871602.67</v>
      </c>
    </row>
    <row r="181" spans="1:6" ht="25.5">
      <c r="A181" s="159" t="s">
        <v>221</v>
      </c>
      <c r="B181" s="147" t="s">
        <v>653</v>
      </c>
      <c r="C181" s="163" t="s">
        <v>530</v>
      </c>
      <c r="D181" s="148" t="s">
        <v>705</v>
      </c>
      <c r="E181" s="147">
        <v>400</v>
      </c>
      <c r="F181" s="146">
        <v>35871602.67</v>
      </c>
    </row>
    <row r="182" spans="1:6" ht="25.5">
      <c r="A182" s="337" t="s">
        <v>93</v>
      </c>
      <c r="B182" s="147" t="s">
        <v>653</v>
      </c>
      <c r="C182" s="163" t="s">
        <v>530</v>
      </c>
      <c r="D182" s="148" t="s">
        <v>706</v>
      </c>
      <c r="E182" s="166"/>
      <c r="F182" s="146">
        <f>F183</f>
        <v>18972534.33</v>
      </c>
    </row>
    <row r="183" spans="1:6" ht="25.5">
      <c r="A183" s="159" t="s">
        <v>221</v>
      </c>
      <c r="B183" s="147" t="s">
        <v>653</v>
      </c>
      <c r="C183" s="163" t="s">
        <v>530</v>
      </c>
      <c r="D183" s="148" t="s">
        <v>706</v>
      </c>
      <c r="E183" s="147">
        <v>400</v>
      </c>
      <c r="F183" s="146">
        <v>18972534.33</v>
      </c>
    </row>
    <row r="184" spans="1:6" ht="63.75">
      <c r="A184" s="7" t="s">
        <v>67</v>
      </c>
      <c r="B184" s="147" t="s">
        <v>653</v>
      </c>
      <c r="C184" s="163" t="s">
        <v>530</v>
      </c>
      <c r="D184" s="148" t="s">
        <v>292</v>
      </c>
      <c r="E184" s="166"/>
      <c r="F184" s="146">
        <f>F185</f>
        <v>14459239.36</v>
      </c>
    </row>
    <row r="185" spans="1:6" ht="25.5">
      <c r="A185" s="159" t="s">
        <v>221</v>
      </c>
      <c r="B185" s="147" t="s">
        <v>653</v>
      </c>
      <c r="C185" s="163" t="s">
        <v>530</v>
      </c>
      <c r="D185" s="148" t="s">
        <v>292</v>
      </c>
      <c r="E185" s="147">
        <v>400</v>
      </c>
      <c r="F185" s="158">
        <v>14459239.36</v>
      </c>
    </row>
    <row r="186" spans="1:6" ht="38.25">
      <c r="A186" s="159" t="s">
        <v>1009</v>
      </c>
      <c r="B186" s="147" t="s">
        <v>653</v>
      </c>
      <c r="C186" s="163" t="s">
        <v>530</v>
      </c>
      <c r="D186" s="148" t="s">
        <v>1010</v>
      </c>
      <c r="E186" s="147"/>
      <c r="F186" s="158">
        <f>F187</f>
        <v>90000</v>
      </c>
    </row>
    <row r="187" spans="1:6" ht="25.5">
      <c r="A187" s="159" t="s">
        <v>999</v>
      </c>
      <c r="B187" s="147" t="s">
        <v>653</v>
      </c>
      <c r="C187" s="163" t="s">
        <v>530</v>
      </c>
      <c r="D187" s="148" t="s">
        <v>1011</v>
      </c>
      <c r="E187" s="147"/>
      <c r="F187" s="158">
        <f>F188</f>
        <v>90000</v>
      </c>
    </row>
    <row r="188" spans="1:6" ht="25.5">
      <c r="A188" s="159" t="s">
        <v>228</v>
      </c>
      <c r="B188" s="147" t="s">
        <v>653</v>
      </c>
      <c r="C188" s="163" t="s">
        <v>530</v>
      </c>
      <c r="D188" s="148" t="s">
        <v>1011</v>
      </c>
      <c r="E188" s="147" t="s">
        <v>74</v>
      </c>
      <c r="F188" s="158">
        <v>90000</v>
      </c>
    </row>
    <row r="189" spans="1:6" ht="67.5" customHeight="1">
      <c r="A189" s="84" t="s">
        <v>480</v>
      </c>
      <c r="B189" s="147" t="s">
        <v>653</v>
      </c>
      <c r="C189" s="163" t="s">
        <v>530</v>
      </c>
      <c r="D189" s="160" t="s">
        <v>556</v>
      </c>
      <c r="E189" s="166"/>
      <c r="F189" s="146">
        <f>F190</f>
        <v>663000</v>
      </c>
    </row>
    <row r="190" spans="1:6" ht="25.5">
      <c r="A190" s="7" t="s">
        <v>234</v>
      </c>
      <c r="B190" s="147" t="s">
        <v>653</v>
      </c>
      <c r="C190" s="163" t="s">
        <v>530</v>
      </c>
      <c r="D190" s="148" t="s">
        <v>267</v>
      </c>
      <c r="E190" s="166"/>
      <c r="F190" s="146">
        <f>F191</f>
        <v>663000</v>
      </c>
    </row>
    <row r="191" spans="1:6" ht="24">
      <c r="A191" s="336" t="s">
        <v>266</v>
      </c>
      <c r="B191" s="147" t="s">
        <v>653</v>
      </c>
      <c r="C191" s="163" t="s">
        <v>530</v>
      </c>
      <c r="D191" s="148" t="s">
        <v>265</v>
      </c>
      <c r="E191" s="166"/>
      <c r="F191" s="146">
        <f>SUM(F192:F192)</f>
        <v>663000</v>
      </c>
    </row>
    <row r="192" spans="1:6" ht="25.5">
      <c r="A192" s="159" t="s">
        <v>228</v>
      </c>
      <c r="B192" s="147" t="s">
        <v>653</v>
      </c>
      <c r="C192" s="163" t="s">
        <v>530</v>
      </c>
      <c r="D192" s="148" t="s">
        <v>265</v>
      </c>
      <c r="E192" s="147">
        <v>200</v>
      </c>
      <c r="F192" s="158">
        <v>663000</v>
      </c>
    </row>
    <row r="193" spans="1:6" ht="12.75">
      <c r="A193" s="152" t="s">
        <v>950</v>
      </c>
      <c r="B193" s="151" t="s">
        <v>653</v>
      </c>
      <c r="C193" s="151" t="s">
        <v>532</v>
      </c>
      <c r="D193" s="151"/>
      <c r="E193" s="151"/>
      <c r="F193" s="146">
        <f>F194</f>
        <v>364664.94</v>
      </c>
    </row>
    <row r="194" spans="1:6" ht="51">
      <c r="A194" s="150" t="s">
        <v>951</v>
      </c>
      <c r="B194" s="147" t="s">
        <v>653</v>
      </c>
      <c r="C194" s="163" t="s">
        <v>532</v>
      </c>
      <c r="D194" s="148" t="s">
        <v>32</v>
      </c>
      <c r="E194" s="166"/>
      <c r="F194" s="146">
        <f>F195</f>
        <v>364664.94</v>
      </c>
    </row>
    <row r="195" spans="1:6" ht="65.25" customHeight="1">
      <c r="A195" s="84" t="s">
        <v>952</v>
      </c>
      <c r="B195" s="147" t="s">
        <v>653</v>
      </c>
      <c r="C195" s="163" t="s">
        <v>532</v>
      </c>
      <c r="D195" s="160" t="s">
        <v>556</v>
      </c>
      <c r="E195" s="166"/>
      <c r="F195" s="146">
        <f>F196</f>
        <v>364664.94</v>
      </c>
    </row>
    <row r="196" spans="1:6" ht="25.5">
      <c r="A196" s="7" t="s">
        <v>953</v>
      </c>
      <c r="B196" s="147" t="s">
        <v>653</v>
      </c>
      <c r="C196" s="163" t="s">
        <v>532</v>
      </c>
      <c r="D196" s="148" t="s">
        <v>954</v>
      </c>
      <c r="E196" s="166"/>
      <c r="F196" s="146">
        <f>F197</f>
        <v>364664.94</v>
      </c>
    </row>
    <row r="197" spans="1:6" ht="12.75">
      <c r="A197" s="7" t="s">
        <v>955</v>
      </c>
      <c r="B197" s="147" t="s">
        <v>653</v>
      </c>
      <c r="C197" s="163" t="s">
        <v>532</v>
      </c>
      <c r="D197" s="148" t="s">
        <v>956</v>
      </c>
      <c r="E197" s="166"/>
      <c r="F197" s="146">
        <f>F198</f>
        <v>364664.94</v>
      </c>
    </row>
    <row r="198" spans="1:6" ht="25.5">
      <c r="A198" s="7" t="s">
        <v>228</v>
      </c>
      <c r="B198" s="147" t="s">
        <v>653</v>
      </c>
      <c r="C198" s="163" t="s">
        <v>532</v>
      </c>
      <c r="D198" s="148" t="s">
        <v>956</v>
      </c>
      <c r="E198" s="147" t="s">
        <v>74</v>
      </c>
      <c r="F198" s="146">
        <v>364664.94</v>
      </c>
    </row>
    <row r="199" spans="1:6" ht="12.75">
      <c r="A199" s="152" t="s">
        <v>560</v>
      </c>
      <c r="B199" s="151" t="s">
        <v>653</v>
      </c>
      <c r="C199" s="151" t="s">
        <v>101</v>
      </c>
      <c r="D199" s="151" t="s">
        <v>87</v>
      </c>
      <c r="E199" s="151" t="s">
        <v>87</v>
      </c>
      <c r="F199" s="146">
        <f>F200+F210+F219</f>
        <v>17213279.04</v>
      </c>
    </row>
    <row r="200" spans="1:6" ht="51">
      <c r="A200" s="150" t="s">
        <v>479</v>
      </c>
      <c r="B200" s="147" t="s">
        <v>653</v>
      </c>
      <c r="C200" s="147" t="s">
        <v>101</v>
      </c>
      <c r="D200" s="148" t="s">
        <v>32</v>
      </c>
      <c r="E200" s="147" t="s">
        <v>87</v>
      </c>
      <c r="F200" s="146">
        <f>F201</f>
        <v>11589350.08</v>
      </c>
    </row>
    <row r="201" spans="1:6" ht="66" customHeight="1">
      <c r="A201" s="84" t="s">
        <v>480</v>
      </c>
      <c r="B201" s="147" t="s">
        <v>653</v>
      </c>
      <c r="C201" s="147" t="s">
        <v>101</v>
      </c>
      <c r="D201" s="160" t="s">
        <v>556</v>
      </c>
      <c r="E201" s="149" t="s">
        <v>87</v>
      </c>
      <c r="F201" s="146">
        <f>F202</f>
        <v>11589350.08</v>
      </c>
    </row>
    <row r="202" spans="1:6" ht="25.5">
      <c r="A202" s="7" t="s">
        <v>353</v>
      </c>
      <c r="B202" s="147" t="s">
        <v>653</v>
      </c>
      <c r="C202" s="147" t="s">
        <v>101</v>
      </c>
      <c r="D202" s="148" t="s">
        <v>454</v>
      </c>
      <c r="E202" s="149"/>
      <c r="F202" s="146">
        <f>F203+F206+F208</f>
        <v>11589350.08</v>
      </c>
    </row>
    <row r="203" spans="1:6" ht="12.75">
      <c r="A203" s="7" t="s">
        <v>732</v>
      </c>
      <c r="B203" s="147" t="s">
        <v>653</v>
      </c>
      <c r="C203" s="147" t="s">
        <v>101</v>
      </c>
      <c r="D203" s="148" t="s">
        <v>455</v>
      </c>
      <c r="E203" s="147" t="s">
        <v>87</v>
      </c>
      <c r="F203" s="146">
        <f>SUM(F204:F205)</f>
        <v>11589350.08</v>
      </c>
    </row>
    <row r="204" spans="1:6" ht="25.5">
      <c r="A204" s="159" t="s">
        <v>228</v>
      </c>
      <c r="B204" s="147" t="s">
        <v>653</v>
      </c>
      <c r="C204" s="147" t="s">
        <v>101</v>
      </c>
      <c r="D204" s="148" t="s">
        <v>455</v>
      </c>
      <c r="E204" s="147">
        <v>200</v>
      </c>
      <c r="F204" s="158">
        <v>3730774.23</v>
      </c>
    </row>
    <row r="205" spans="1:6" ht="12.75">
      <c r="A205" s="159" t="s">
        <v>77</v>
      </c>
      <c r="B205" s="147" t="s">
        <v>653</v>
      </c>
      <c r="C205" s="147" t="s">
        <v>101</v>
      </c>
      <c r="D205" s="148" t="s">
        <v>455</v>
      </c>
      <c r="E205" s="147">
        <v>800</v>
      </c>
      <c r="F205" s="158">
        <v>7858575.85</v>
      </c>
    </row>
    <row r="206" spans="1:6" ht="12.75" customHeight="1" hidden="1">
      <c r="A206" s="159" t="s">
        <v>814</v>
      </c>
      <c r="B206" s="147" t="s">
        <v>653</v>
      </c>
      <c r="C206" s="147" t="s">
        <v>101</v>
      </c>
      <c r="D206" s="148" t="s">
        <v>813</v>
      </c>
      <c r="E206" s="147"/>
      <c r="F206" s="158">
        <f>F207</f>
        <v>0</v>
      </c>
    </row>
    <row r="207" spans="1:6" ht="25.5" customHeight="1" hidden="1">
      <c r="A207" s="159" t="s">
        <v>228</v>
      </c>
      <c r="B207" s="147" t="s">
        <v>653</v>
      </c>
      <c r="C207" s="147" t="s">
        <v>101</v>
      </c>
      <c r="D207" s="148" t="s">
        <v>813</v>
      </c>
      <c r="E207" s="147">
        <v>200</v>
      </c>
      <c r="F207" s="158"/>
    </row>
    <row r="208" spans="1:6" ht="12.75" customHeight="1" hidden="1">
      <c r="A208" s="159" t="s">
        <v>812</v>
      </c>
      <c r="B208" s="147" t="s">
        <v>653</v>
      </c>
      <c r="C208" s="147" t="s">
        <v>101</v>
      </c>
      <c r="D208" s="148" t="s">
        <v>811</v>
      </c>
      <c r="E208" s="147"/>
      <c r="F208" s="158">
        <f>F209</f>
        <v>0</v>
      </c>
    </row>
    <row r="209" spans="1:6" ht="25.5" customHeight="1" hidden="1">
      <c r="A209" s="159" t="s">
        <v>228</v>
      </c>
      <c r="B209" s="147" t="s">
        <v>653</v>
      </c>
      <c r="C209" s="147" t="s">
        <v>101</v>
      </c>
      <c r="D209" s="148" t="s">
        <v>811</v>
      </c>
      <c r="E209" s="147">
        <v>200</v>
      </c>
      <c r="F209" s="158"/>
    </row>
    <row r="210" spans="1:6" ht="36.75" customHeight="1">
      <c r="A210" s="150" t="s">
        <v>475</v>
      </c>
      <c r="B210" s="147" t="s">
        <v>653</v>
      </c>
      <c r="C210" s="147" t="s">
        <v>101</v>
      </c>
      <c r="D210" s="148" t="s">
        <v>638</v>
      </c>
      <c r="E210" s="147"/>
      <c r="F210" s="146">
        <f>F211+F216</f>
        <v>5623928.96</v>
      </c>
    </row>
    <row r="211" spans="1:6" ht="25.5">
      <c r="A211" s="7" t="s">
        <v>709</v>
      </c>
      <c r="B211" s="147" t="s">
        <v>653</v>
      </c>
      <c r="C211" s="147" t="s">
        <v>101</v>
      </c>
      <c r="D211" s="148" t="s">
        <v>336</v>
      </c>
      <c r="E211" s="147"/>
      <c r="F211" s="146">
        <f>F212+F214</f>
        <v>5585925.8</v>
      </c>
    </row>
    <row r="212" spans="1:6" ht="51" customHeight="1" hidden="1">
      <c r="A212" s="7" t="s">
        <v>400</v>
      </c>
      <c r="B212" s="147" t="s">
        <v>653</v>
      </c>
      <c r="C212" s="147" t="s">
        <v>101</v>
      </c>
      <c r="D212" s="148" t="s">
        <v>401</v>
      </c>
      <c r="E212" s="147"/>
      <c r="F212" s="146">
        <f>F213</f>
        <v>0</v>
      </c>
    </row>
    <row r="213" spans="1:6" ht="12.75" customHeight="1" hidden="1">
      <c r="A213" s="159" t="s">
        <v>77</v>
      </c>
      <c r="B213" s="147" t="s">
        <v>653</v>
      </c>
      <c r="C213" s="147" t="s">
        <v>101</v>
      </c>
      <c r="D213" s="148" t="s">
        <v>401</v>
      </c>
      <c r="E213" s="147">
        <v>800</v>
      </c>
      <c r="F213" s="146"/>
    </row>
    <row r="214" spans="1:6" ht="25.5">
      <c r="A214" s="338" t="s">
        <v>338</v>
      </c>
      <c r="B214" s="147" t="s">
        <v>653</v>
      </c>
      <c r="C214" s="147" t="s">
        <v>101</v>
      </c>
      <c r="D214" s="148" t="s">
        <v>337</v>
      </c>
      <c r="E214" s="147"/>
      <c r="F214" s="146">
        <f>F215</f>
        <v>5585925.8</v>
      </c>
    </row>
    <row r="215" spans="1:6" ht="25.5">
      <c r="A215" s="159" t="s">
        <v>228</v>
      </c>
      <c r="B215" s="147" t="s">
        <v>653</v>
      </c>
      <c r="C215" s="147" t="s">
        <v>101</v>
      </c>
      <c r="D215" s="148" t="s">
        <v>337</v>
      </c>
      <c r="E215" s="147">
        <v>200</v>
      </c>
      <c r="F215" s="158">
        <f>375681+5255258-42010.04-3003.16</f>
        <v>5585925.8</v>
      </c>
    </row>
    <row r="216" spans="1:6" ht="25.5">
      <c r="A216" s="159" t="s">
        <v>871</v>
      </c>
      <c r="B216" s="147" t="s">
        <v>653</v>
      </c>
      <c r="C216" s="147" t="s">
        <v>101</v>
      </c>
      <c r="D216" s="148" t="s">
        <v>872</v>
      </c>
      <c r="E216" s="147"/>
      <c r="F216" s="158">
        <f>F217</f>
        <v>38003.16</v>
      </c>
    </row>
    <row r="217" spans="1:6" ht="25.5">
      <c r="A217" s="159" t="s">
        <v>873</v>
      </c>
      <c r="B217" s="147" t="s">
        <v>653</v>
      </c>
      <c r="C217" s="147" t="s">
        <v>101</v>
      </c>
      <c r="D217" s="148" t="s">
        <v>874</v>
      </c>
      <c r="E217" s="147"/>
      <c r="F217" s="158">
        <f>F218</f>
        <v>38003.16</v>
      </c>
    </row>
    <row r="218" spans="1:6" ht="25.5">
      <c r="A218" s="159" t="s">
        <v>228</v>
      </c>
      <c r="B218" s="147" t="s">
        <v>653</v>
      </c>
      <c r="C218" s="147" t="s">
        <v>101</v>
      </c>
      <c r="D218" s="148" t="s">
        <v>874</v>
      </c>
      <c r="E218" s="147">
        <v>200</v>
      </c>
      <c r="F218" s="158">
        <f>35000+3003.16</f>
        <v>38003.16</v>
      </c>
    </row>
    <row r="219" spans="1:6" ht="25.5" customHeight="1" hidden="1">
      <c r="A219" s="150" t="s">
        <v>626</v>
      </c>
      <c r="B219" s="147" t="s">
        <v>653</v>
      </c>
      <c r="C219" s="147" t="s">
        <v>101</v>
      </c>
      <c r="D219" s="148" t="s">
        <v>14</v>
      </c>
      <c r="E219" s="147"/>
      <c r="F219" s="146">
        <f>F220</f>
        <v>0</v>
      </c>
    </row>
    <row r="220" spans="1:6" ht="25.5" customHeight="1" hidden="1">
      <c r="A220" s="84" t="s">
        <v>636</v>
      </c>
      <c r="B220" s="147" t="s">
        <v>653</v>
      </c>
      <c r="C220" s="147" t="s">
        <v>101</v>
      </c>
      <c r="D220" s="148" t="s">
        <v>717</v>
      </c>
      <c r="E220" s="147"/>
      <c r="F220" s="146">
        <f>F228+F221</f>
        <v>0</v>
      </c>
    </row>
    <row r="221" spans="1:6" ht="12.75" customHeight="1" hidden="1">
      <c r="A221" s="159" t="s">
        <v>718</v>
      </c>
      <c r="B221" s="147" t="s">
        <v>653</v>
      </c>
      <c r="C221" s="147" t="s">
        <v>101</v>
      </c>
      <c r="D221" s="148" t="s">
        <v>399</v>
      </c>
      <c r="E221" s="147"/>
      <c r="F221" s="146">
        <f>F222+F224+F226</f>
        <v>0</v>
      </c>
    </row>
    <row r="222" spans="1:6" ht="38.25" customHeight="1" hidden="1">
      <c r="A222" s="159" t="s">
        <v>50</v>
      </c>
      <c r="B222" s="147" t="s">
        <v>653</v>
      </c>
      <c r="C222" s="147" t="s">
        <v>101</v>
      </c>
      <c r="D222" s="148" t="s">
        <v>49</v>
      </c>
      <c r="E222" s="147"/>
      <c r="F222" s="158">
        <f>F223</f>
        <v>0</v>
      </c>
    </row>
    <row r="223" spans="1:6" ht="25.5" customHeight="1" hidden="1">
      <c r="A223" s="159" t="s">
        <v>228</v>
      </c>
      <c r="B223" s="147" t="s">
        <v>653</v>
      </c>
      <c r="C223" s="147" t="s">
        <v>101</v>
      </c>
      <c r="D223" s="148" t="s">
        <v>49</v>
      </c>
      <c r="E223" s="147">
        <v>200</v>
      </c>
      <c r="F223" s="158"/>
    </row>
    <row r="224" spans="1:6" ht="51" customHeight="1" hidden="1">
      <c r="A224" s="159" t="s">
        <v>51</v>
      </c>
      <c r="B224" s="147" t="s">
        <v>653</v>
      </c>
      <c r="C224" s="147" t="s">
        <v>101</v>
      </c>
      <c r="D224" s="148" t="s">
        <v>52</v>
      </c>
      <c r="E224" s="147"/>
      <c r="F224" s="158">
        <f>F225</f>
        <v>0</v>
      </c>
    </row>
    <row r="225" spans="1:6" ht="25.5" customHeight="1" hidden="1">
      <c r="A225" s="159" t="s">
        <v>228</v>
      </c>
      <c r="B225" s="147" t="s">
        <v>653</v>
      </c>
      <c r="C225" s="147" t="s">
        <v>101</v>
      </c>
      <c r="D225" s="148" t="s">
        <v>52</v>
      </c>
      <c r="E225" s="147">
        <v>200</v>
      </c>
      <c r="F225" s="158"/>
    </row>
    <row r="226" spans="1:6" ht="38.25" customHeight="1" hidden="1">
      <c r="A226" s="159" t="s">
        <v>53</v>
      </c>
      <c r="B226" s="147" t="s">
        <v>653</v>
      </c>
      <c r="C226" s="147" t="s">
        <v>101</v>
      </c>
      <c r="D226" s="148" t="s">
        <v>54</v>
      </c>
      <c r="E226" s="147"/>
      <c r="F226" s="158">
        <f>F227</f>
        <v>0</v>
      </c>
    </row>
    <row r="227" spans="1:6" ht="25.5" customHeight="1" hidden="1">
      <c r="A227" s="159" t="s">
        <v>228</v>
      </c>
      <c r="B227" s="147" t="s">
        <v>653</v>
      </c>
      <c r="C227" s="147" t="s">
        <v>101</v>
      </c>
      <c r="D227" s="148" t="s">
        <v>54</v>
      </c>
      <c r="E227" s="147">
        <v>200</v>
      </c>
      <c r="F227" s="158"/>
    </row>
    <row r="228" spans="1:6" ht="12.75" customHeight="1" hidden="1">
      <c r="A228" s="7" t="s">
        <v>748</v>
      </c>
      <c r="B228" s="147" t="s">
        <v>653</v>
      </c>
      <c r="C228" s="147" t="s">
        <v>101</v>
      </c>
      <c r="D228" s="148" t="s">
        <v>398</v>
      </c>
      <c r="E228" s="147"/>
      <c r="F228" s="146">
        <f>F229+F231+F233</f>
        <v>0</v>
      </c>
    </row>
    <row r="229" spans="1:6" ht="38.25" customHeight="1" hidden="1">
      <c r="A229" s="7" t="s">
        <v>55</v>
      </c>
      <c r="B229" s="147" t="s">
        <v>653</v>
      </c>
      <c r="C229" s="147" t="s">
        <v>101</v>
      </c>
      <c r="D229" s="148" t="s">
        <v>56</v>
      </c>
      <c r="E229" s="147"/>
      <c r="F229" s="158">
        <f>F230</f>
        <v>0</v>
      </c>
    </row>
    <row r="230" spans="1:6" ht="25.5" customHeight="1" hidden="1">
      <c r="A230" s="159" t="s">
        <v>228</v>
      </c>
      <c r="B230" s="147" t="s">
        <v>653</v>
      </c>
      <c r="C230" s="147" t="s">
        <v>101</v>
      </c>
      <c r="D230" s="148" t="s">
        <v>56</v>
      </c>
      <c r="E230" s="147">
        <v>200</v>
      </c>
      <c r="F230" s="158"/>
    </row>
    <row r="231" spans="1:6" ht="51" customHeight="1" hidden="1">
      <c r="A231" s="7" t="s">
        <v>57</v>
      </c>
      <c r="B231" s="147" t="s">
        <v>653</v>
      </c>
      <c r="C231" s="147" t="s">
        <v>101</v>
      </c>
      <c r="D231" s="148" t="s">
        <v>58</v>
      </c>
      <c r="E231" s="147"/>
      <c r="F231" s="158">
        <f>F232</f>
        <v>0</v>
      </c>
    </row>
    <row r="232" spans="1:6" ht="25.5" customHeight="1" hidden="1">
      <c r="A232" s="159" t="s">
        <v>228</v>
      </c>
      <c r="B232" s="147" t="s">
        <v>653</v>
      </c>
      <c r="C232" s="147" t="s">
        <v>101</v>
      </c>
      <c r="D232" s="148" t="s">
        <v>58</v>
      </c>
      <c r="E232" s="147">
        <v>200</v>
      </c>
      <c r="F232" s="158"/>
    </row>
    <row r="233" spans="1:6" ht="38.25" customHeight="1" hidden="1">
      <c r="A233" s="7" t="s">
        <v>59</v>
      </c>
      <c r="B233" s="147" t="s">
        <v>653</v>
      </c>
      <c r="C233" s="147" t="s">
        <v>101</v>
      </c>
      <c r="D233" s="148" t="s">
        <v>60</v>
      </c>
      <c r="E233" s="147"/>
      <c r="F233" s="158">
        <f>F234</f>
        <v>0</v>
      </c>
    </row>
    <row r="234" spans="1:6" ht="25.5" customHeight="1" hidden="1">
      <c r="A234" s="145" t="s">
        <v>228</v>
      </c>
      <c r="B234" s="143" t="s">
        <v>653</v>
      </c>
      <c r="C234" s="143" t="s">
        <v>101</v>
      </c>
      <c r="D234" s="144" t="s">
        <v>60</v>
      </c>
      <c r="E234" s="143">
        <v>200</v>
      </c>
      <c r="F234" s="142"/>
    </row>
    <row r="235" spans="1:6" ht="12.75" customHeight="1" hidden="1">
      <c r="A235" s="156" t="s">
        <v>327</v>
      </c>
      <c r="B235" s="114" t="s">
        <v>534</v>
      </c>
      <c r="C235" s="115"/>
      <c r="D235" s="116"/>
      <c r="E235" s="115"/>
      <c r="F235" s="117">
        <f>F236</f>
        <v>0</v>
      </c>
    </row>
    <row r="236" spans="1:6" ht="12.75" customHeight="1" hidden="1">
      <c r="A236" s="87" t="s">
        <v>95</v>
      </c>
      <c r="B236" s="118" t="s">
        <v>534</v>
      </c>
      <c r="C236" s="118" t="s">
        <v>653</v>
      </c>
      <c r="D236" s="110"/>
      <c r="E236" s="85"/>
      <c r="F236" s="86">
        <f>F237</f>
        <v>0</v>
      </c>
    </row>
    <row r="237" spans="1:6" ht="51" customHeight="1" hidden="1">
      <c r="A237" s="88" t="s">
        <v>479</v>
      </c>
      <c r="B237" s="118" t="s">
        <v>534</v>
      </c>
      <c r="C237" s="118" t="s">
        <v>653</v>
      </c>
      <c r="D237" s="110" t="s">
        <v>32</v>
      </c>
      <c r="E237" s="85"/>
      <c r="F237" s="86">
        <f>F238</f>
        <v>0</v>
      </c>
    </row>
    <row r="238" spans="1:6" ht="38.25" customHeight="1" hidden="1">
      <c r="A238" s="89" t="s">
        <v>94</v>
      </c>
      <c r="B238" s="118" t="s">
        <v>534</v>
      </c>
      <c r="C238" s="118" t="s">
        <v>653</v>
      </c>
      <c r="D238" s="90" t="s">
        <v>328</v>
      </c>
      <c r="E238" s="85"/>
      <c r="F238" s="86">
        <f>F239</f>
        <v>0</v>
      </c>
    </row>
    <row r="239" spans="1:6" ht="25.5" customHeight="1" hidden="1">
      <c r="A239" s="7" t="s">
        <v>329</v>
      </c>
      <c r="B239" s="118" t="s">
        <v>534</v>
      </c>
      <c r="C239" s="118" t="s">
        <v>653</v>
      </c>
      <c r="D239" s="110" t="s">
        <v>330</v>
      </c>
      <c r="E239" s="85"/>
      <c r="F239" s="86">
        <f>F240</f>
        <v>0</v>
      </c>
    </row>
    <row r="240" spans="1:6" ht="25.5" customHeight="1" hidden="1">
      <c r="A240" s="111" t="s">
        <v>228</v>
      </c>
      <c r="B240" s="119" t="s">
        <v>534</v>
      </c>
      <c r="C240" s="119" t="s">
        <v>653</v>
      </c>
      <c r="D240" s="112" t="s">
        <v>330</v>
      </c>
      <c r="E240" s="120">
        <v>200</v>
      </c>
      <c r="F240" s="113"/>
    </row>
    <row r="241" spans="1:6" ht="12.75">
      <c r="A241" s="156" t="s">
        <v>561</v>
      </c>
      <c r="B241" s="154" t="s">
        <v>654</v>
      </c>
      <c r="C241" s="155" t="s">
        <v>462</v>
      </c>
      <c r="D241" s="154" t="s">
        <v>87</v>
      </c>
      <c r="E241" s="154" t="s">
        <v>87</v>
      </c>
      <c r="F241" s="161">
        <f>F242+F255+F303+F315+F331</f>
        <v>436677799.11</v>
      </c>
    </row>
    <row r="242" spans="1:6" ht="12.75">
      <c r="A242" s="152" t="s">
        <v>562</v>
      </c>
      <c r="B242" s="151" t="s">
        <v>654</v>
      </c>
      <c r="C242" s="151" t="s">
        <v>530</v>
      </c>
      <c r="D242" s="151" t="s">
        <v>87</v>
      </c>
      <c r="E242" s="151" t="s">
        <v>87</v>
      </c>
      <c r="F242" s="146">
        <f>F243</f>
        <v>100789702.11</v>
      </c>
    </row>
    <row r="243" spans="1:6" ht="29.25" customHeight="1">
      <c r="A243" s="150" t="s">
        <v>277</v>
      </c>
      <c r="B243" s="147" t="s">
        <v>654</v>
      </c>
      <c r="C243" s="147" t="s">
        <v>530</v>
      </c>
      <c r="D243" s="148" t="s">
        <v>557</v>
      </c>
      <c r="E243" s="147" t="s">
        <v>87</v>
      </c>
      <c r="F243" s="146">
        <f>F244</f>
        <v>100789702.11</v>
      </c>
    </row>
    <row r="244" spans="1:6" ht="38.25">
      <c r="A244" s="84" t="s">
        <v>278</v>
      </c>
      <c r="B244" s="147" t="s">
        <v>654</v>
      </c>
      <c r="C244" s="147" t="s">
        <v>530</v>
      </c>
      <c r="D244" s="160" t="s">
        <v>558</v>
      </c>
      <c r="E244" s="149" t="s">
        <v>87</v>
      </c>
      <c r="F244" s="146">
        <f>F245</f>
        <v>100789702.11</v>
      </c>
    </row>
    <row r="245" spans="1:6" ht="25.5">
      <c r="A245" s="7" t="s">
        <v>456</v>
      </c>
      <c r="B245" s="147" t="s">
        <v>654</v>
      </c>
      <c r="C245" s="147" t="s">
        <v>530</v>
      </c>
      <c r="D245" s="148" t="s">
        <v>559</v>
      </c>
      <c r="E245" s="149"/>
      <c r="F245" s="146">
        <f>F246+F249+F253</f>
        <v>100789702.11</v>
      </c>
    </row>
    <row r="246" spans="1:6" ht="76.5">
      <c r="A246" s="159" t="s">
        <v>298</v>
      </c>
      <c r="B246" s="147" t="s">
        <v>654</v>
      </c>
      <c r="C246" s="147" t="s">
        <v>530</v>
      </c>
      <c r="D246" s="148" t="s">
        <v>299</v>
      </c>
      <c r="E246" s="147" t="s">
        <v>87</v>
      </c>
      <c r="F246" s="146">
        <f>SUM(F247:F248)</f>
        <v>55488082</v>
      </c>
    </row>
    <row r="247" spans="1:6" ht="51">
      <c r="A247" s="159" t="s">
        <v>735</v>
      </c>
      <c r="B247" s="147" t="s">
        <v>654</v>
      </c>
      <c r="C247" s="147" t="s">
        <v>530</v>
      </c>
      <c r="D247" s="148" t="s">
        <v>299</v>
      </c>
      <c r="E247" s="147" t="s">
        <v>592</v>
      </c>
      <c r="F247" s="158">
        <v>55063202</v>
      </c>
    </row>
    <row r="248" spans="1:6" ht="25.5">
      <c r="A248" s="159" t="s">
        <v>228</v>
      </c>
      <c r="B248" s="147" t="s">
        <v>654</v>
      </c>
      <c r="C248" s="147" t="s">
        <v>530</v>
      </c>
      <c r="D248" s="148" t="s">
        <v>299</v>
      </c>
      <c r="E248" s="147" t="s">
        <v>74</v>
      </c>
      <c r="F248" s="158">
        <v>424880</v>
      </c>
    </row>
    <row r="249" spans="1:6" ht="25.5">
      <c r="A249" s="149" t="s">
        <v>494</v>
      </c>
      <c r="B249" s="147" t="s">
        <v>654</v>
      </c>
      <c r="C249" s="147" t="s">
        <v>530</v>
      </c>
      <c r="D249" s="148" t="s">
        <v>300</v>
      </c>
      <c r="E249" s="147"/>
      <c r="F249" s="146">
        <f>SUM(F250:F252)</f>
        <v>45301620.11</v>
      </c>
    </row>
    <row r="250" spans="1:6" ht="51">
      <c r="A250" s="159" t="s">
        <v>735</v>
      </c>
      <c r="B250" s="147" t="s">
        <v>654</v>
      </c>
      <c r="C250" s="147" t="s">
        <v>530</v>
      </c>
      <c r="D250" s="148" t="s">
        <v>300</v>
      </c>
      <c r="E250" s="147">
        <v>100</v>
      </c>
      <c r="F250" s="158">
        <f>13405963+4048601+197000+150000+668413</f>
        <v>18469977</v>
      </c>
    </row>
    <row r="251" spans="1:6" ht="25.5">
      <c r="A251" s="159" t="s">
        <v>228</v>
      </c>
      <c r="B251" s="147" t="s">
        <v>654</v>
      </c>
      <c r="C251" s="147" t="s">
        <v>530</v>
      </c>
      <c r="D251" s="148" t="s">
        <v>300</v>
      </c>
      <c r="E251" s="147">
        <v>200</v>
      </c>
      <c r="F251" s="158">
        <f>23921812.11+630000</f>
        <v>24551812.11</v>
      </c>
    </row>
    <row r="252" spans="1:6" ht="12.75">
      <c r="A252" s="159" t="s">
        <v>77</v>
      </c>
      <c r="B252" s="147" t="s">
        <v>654</v>
      </c>
      <c r="C252" s="147" t="s">
        <v>530</v>
      </c>
      <c r="D252" s="148" t="s">
        <v>300</v>
      </c>
      <c r="E252" s="147">
        <v>800</v>
      </c>
      <c r="F252" s="158">
        <v>2279831</v>
      </c>
    </row>
    <row r="253" spans="1:6" ht="38.25" customHeight="1" hidden="1">
      <c r="A253" s="303" t="s">
        <v>149</v>
      </c>
      <c r="B253" s="164" t="s">
        <v>654</v>
      </c>
      <c r="C253" s="164" t="s">
        <v>530</v>
      </c>
      <c r="D253" s="165" t="s">
        <v>150</v>
      </c>
      <c r="E253" s="164"/>
      <c r="F253" s="158">
        <f>F254</f>
        <v>0</v>
      </c>
    </row>
    <row r="254" spans="1:6" ht="25.5" customHeight="1" hidden="1">
      <c r="A254" s="339" t="s">
        <v>151</v>
      </c>
      <c r="B254" s="164" t="s">
        <v>654</v>
      </c>
      <c r="C254" s="164" t="s">
        <v>530</v>
      </c>
      <c r="D254" s="165" t="s">
        <v>150</v>
      </c>
      <c r="E254" s="164">
        <v>200</v>
      </c>
      <c r="F254" s="158"/>
    </row>
    <row r="255" spans="1:6" ht="12.75">
      <c r="A255" s="152" t="s">
        <v>563</v>
      </c>
      <c r="B255" s="151" t="s">
        <v>654</v>
      </c>
      <c r="C255" s="151" t="s">
        <v>532</v>
      </c>
      <c r="D255" s="151" t="s">
        <v>87</v>
      </c>
      <c r="E255" s="151" t="s">
        <v>87</v>
      </c>
      <c r="F255" s="146">
        <f>F256</f>
        <v>304509674</v>
      </c>
    </row>
    <row r="256" spans="1:6" ht="38.25">
      <c r="A256" s="150" t="s">
        <v>279</v>
      </c>
      <c r="B256" s="147" t="s">
        <v>654</v>
      </c>
      <c r="C256" s="147" t="s">
        <v>532</v>
      </c>
      <c r="D256" s="148" t="s">
        <v>557</v>
      </c>
      <c r="E256" s="147" t="s">
        <v>87</v>
      </c>
      <c r="F256" s="146">
        <f>F257+F299</f>
        <v>304509674</v>
      </c>
    </row>
    <row r="257" spans="1:6" ht="38.25">
      <c r="A257" s="84" t="s">
        <v>278</v>
      </c>
      <c r="B257" s="147" t="s">
        <v>654</v>
      </c>
      <c r="C257" s="147" t="s">
        <v>532</v>
      </c>
      <c r="D257" s="148" t="s">
        <v>558</v>
      </c>
      <c r="E257" s="149" t="s">
        <v>87</v>
      </c>
      <c r="F257" s="146">
        <f>F258+F265+F293+F296+F276+F285+F288+F291</f>
        <v>304509674</v>
      </c>
    </row>
    <row r="258" spans="1:6" ht="25.5">
      <c r="A258" s="7" t="s">
        <v>458</v>
      </c>
      <c r="B258" s="147" t="s">
        <v>654</v>
      </c>
      <c r="C258" s="147" t="s">
        <v>532</v>
      </c>
      <c r="D258" s="148" t="s">
        <v>301</v>
      </c>
      <c r="E258" s="149"/>
      <c r="F258" s="146">
        <f>F259+F261+F263</f>
        <v>124754386</v>
      </c>
    </row>
    <row r="259" spans="1:6" ht="89.25">
      <c r="A259" s="159" t="s">
        <v>681</v>
      </c>
      <c r="B259" s="147" t="s">
        <v>654</v>
      </c>
      <c r="C259" s="147" t="s">
        <v>532</v>
      </c>
      <c r="D259" s="148" t="s">
        <v>302</v>
      </c>
      <c r="E259" s="147" t="s">
        <v>87</v>
      </c>
      <c r="F259" s="146">
        <f>F260</f>
        <v>96274514</v>
      </c>
    </row>
    <row r="260" spans="1:6" ht="25.5">
      <c r="A260" s="159" t="s">
        <v>90</v>
      </c>
      <c r="B260" s="147" t="s">
        <v>654</v>
      </c>
      <c r="C260" s="147" t="s">
        <v>532</v>
      </c>
      <c r="D260" s="148" t="s">
        <v>302</v>
      </c>
      <c r="E260" s="147">
        <v>600</v>
      </c>
      <c r="F260" s="158">
        <v>96274514</v>
      </c>
    </row>
    <row r="261" spans="1:6" ht="25.5">
      <c r="A261" s="149" t="s">
        <v>494</v>
      </c>
      <c r="B261" s="147" t="s">
        <v>654</v>
      </c>
      <c r="C261" s="147" t="s">
        <v>532</v>
      </c>
      <c r="D261" s="148" t="s">
        <v>303</v>
      </c>
      <c r="E261" s="147"/>
      <c r="F261" s="146">
        <f>F262</f>
        <v>22006560</v>
      </c>
    </row>
    <row r="262" spans="1:6" ht="25.5">
      <c r="A262" s="159" t="s">
        <v>90</v>
      </c>
      <c r="B262" s="147" t="s">
        <v>654</v>
      </c>
      <c r="C262" s="147" t="s">
        <v>532</v>
      </c>
      <c r="D262" s="148" t="s">
        <v>303</v>
      </c>
      <c r="E262" s="147">
        <v>600</v>
      </c>
      <c r="F262" s="158">
        <f>21835204+171356</f>
        <v>22006560</v>
      </c>
    </row>
    <row r="263" spans="1:6" ht="38.25">
      <c r="A263" s="159" t="s">
        <v>509</v>
      </c>
      <c r="B263" s="147" t="s">
        <v>654</v>
      </c>
      <c r="C263" s="147" t="s">
        <v>532</v>
      </c>
      <c r="D263" s="148" t="s">
        <v>957</v>
      </c>
      <c r="E263" s="147"/>
      <c r="F263" s="158">
        <f>F264</f>
        <v>6473312</v>
      </c>
    </row>
    <row r="264" spans="1:6" ht="25.5">
      <c r="A264" s="159" t="s">
        <v>90</v>
      </c>
      <c r="B264" s="147" t="s">
        <v>654</v>
      </c>
      <c r="C264" s="147" t="s">
        <v>532</v>
      </c>
      <c r="D264" s="148" t="s">
        <v>957</v>
      </c>
      <c r="E264" s="147">
        <v>600</v>
      </c>
      <c r="F264" s="158">
        <f>6562080-88768</f>
        <v>6473312</v>
      </c>
    </row>
    <row r="265" spans="1:6" ht="25.5">
      <c r="A265" s="7" t="s">
        <v>459</v>
      </c>
      <c r="B265" s="147" t="s">
        <v>654</v>
      </c>
      <c r="C265" s="147" t="s">
        <v>532</v>
      </c>
      <c r="D265" s="148" t="s">
        <v>304</v>
      </c>
      <c r="E265" s="147"/>
      <c r="F265" s="158">
        <f>F266+F268+F270+F272+F274</f>
        <v>13385864</v>
      </c>
    </row>
    <row r="266" spans="1:6" ht="38.25">
      <c r="A266" s="7" t="s">
        <v>396</v>
      </c>
      <c r="B266" s="147" t="s">
        <v>654</v>
      </c>
      <c r="C266" s="147" t="s">
        <v>532</v>
      </c>
      <c r="D266" s="148" t="s">
        <v>397</v>
      </c>
      <c r="E266" s="147"/>
      <c r="F266" s="158">
        <f>F267</f>
        <v>6304413</v>
      </c>
    </row>
    <row r="267" spans="1:6" ht="25.5">
      <c r="A267" s="159" t="s">
        <v>90</v>
      </c>
      <c r="B267" s="147" t="s">
        <v>654</v>
      </c>
      <c r="C267" s="147" t="s">
        <v>532</v>
      </c>
      <c r="D267" s="148" t="s">
        <v>397</v>
      </c>
      <c r="E267" s="147">
        <v>600</v>
      </c>
      <c r="F267" s="158">
        <f>772632+5484839+46942</f>
        <v>6304413</v>
      </c>
    </row>
    <row r="268" spans="1:6" ht="25.5" hidden="1">
      <c r="A268" s="49" t="s">
        <v>719</v>
      </c>
      <c r="B268" s="147" t="s">
        <v>654</v>
      </c>
      <c r="C268" s="147" t="s">
        <v>532</v>
      </c>
      <c r="D268" s="148" t="s">
        <v>720</v>
      </c>
      <c r="E268" s="147"/>
      <c r="F268" s="146">
        <f>F269</f>
        <v>0</v>
      </c>
    </row>
    <row r="269" spans="1:6" ht="25.5" hidden="1">
      <c r="A269" s="159" t="s">
        <v>90</v>
      </c>
      <c r="B269" s="147" t="s">
        <v>654</v>
      </c>
      <c r="C269" s="147" t="s">
        <v>532</v>
      </c>
      <c r="D269" s="148" t="s">
        <v>720</v>
      </c>
      <c r="E269" s="147">
        <v>600</v>
      </c>
      <c r="F269" s="158">
        <v>0</v>
      </c>
    </row>
    <row r="270" spans="1:6" ht="51">
      <c r="A270" s="7" t="s">
        <v>746</v>
      </c>
      <c r="B270" s="147" t="s">
        <v>654</v>
      </c>
      <c r="C270" s="147" t="s">
        <v>532</v>
      </c>
      <c r="D270" s="148" t="s">
        <v>747</v>
      </c>
      <c r="E270" s="147"/>
      <c r="F270" s="146">
        <f>F271</f>
        <v>318065</v>
      </c>
    </row>
    <row r="271" spans="1:6" ht="25.5">
      <c r="A271" s="159" t="s">
        <v>90</v>
      </c>
      <c r="B271" s="147" t="s">
        <v>654</v>
      </c>
      <c r="C271" s="147" t="s">
        <v>532</v>
      </c>
      <c r="D271" s="148" t="s">
        <v>747</v>
      </c>
      <c r="E271" s="147">
        <v>600</v>
      </c>
      <c r="F271" s="158">
        <v>318065</v>
      </c>
    </row>
    <row r="272" spans="1:6" ht="51">
      <c r="A272" s="49" t="s">
        <v>295</v>
      </c>
      <c r="B272" s="147" t="s">
        <v>654</v>
      </c>
      <c r="C272" s="147" t="s">
        <v>532</v>
      </c>
      <c r="D272" s="148" t="s">
        <v>305</v>
      </c>
      <c r="E272" s="147"/>
      <c r="F272" s="146">
        <f>F273</f>
        <v>2127215</v>
      </c>
    </row>
    <row r="273" spans="1:6" ht="25.5">
      <c r="A273" s="159" t="s">
        <v>90</v>
      </c>
      <c r="B273" s="147" t="s">
        <v>654</v>
      </c>
      <c r="C273" s="147" t="s">
        <v>532</v>
      </c>
      <c r="D273" s="148" t="s">
        <v>305</v>
      </c>
      <c r="E273" s="147">
        <v>600</v>
      </c>
      <c r="F273" s="158">
        <v>2127215</v>
      </c>
    </row>
    <row r="274" spans="1:6" ht="25.5">
      <c r="A274" s="149" t="s">
        <v>494</v>
      </c>
      <c r="B274" s="147" t="s">
        <v>654</v>
      </c>
      <c r="C274" s="147" t="s">
        <v>532</v>
      </c>
      <c r="D274" s="148" t="s">
        <v>395</v>
      </c>
      <c r="E274" s="147"/>
      <c r="F274" s="158">
        <f>F275</f>
        <v>4636171</v>
      </c>
    </row>
    <row r="275" spans="1:6" ht="25.5">
      <c r="A275" s="159" t="s">
        <v>90</v>
      </c>
      <c r="B275" s="147" t="s">
        <v>654</v>
      </c>
      <c r="C275" s="147" t="s">
        <v>532</v>
      </c>
      <c r="D275" s="148" t="s">
        <v>395</v>
      </c>
      <c r="E275" s="147">
        <v>600</v>
      </c>
      <c r="F275" s="158">
        <v>4636171</v>
      </c>
    </row>
    <row r="276" spans="1:6" ht="76.5">
      <c r="A276" s="7" t="s">
        <v>958</v>
      </c>
      <c r="B276" s="147" t="s">
        <v>654</v>
      </c>
      <c r="C276" s="147" t="s">
        <v>532</v>
      </c>
      <c r="D276" s="148" t="s">
        <v>959</v>
      </c>
      <c r="E276" s="147"/>
      <c r="F276" s="158">
        <f>F277+F283+F281+F279</f>
        <v>159072470</v>
      </c>
    </row>
    <row r="277" spans="1:6" s="558" customFormat="1" ht="12.75" hidden="1">
      <c r="A277" s="471"/>
      <c r="B277" s="556"/>
      <c r="C277" s="556"/>
      <c r="D277" s="557"/>
      <c r="E277" s="556"/>
      <c r="F277" s="158">
        <f>F278</f>
        <v>0</v>
      </c>
    </row>
    <row r="278" spans="1:6" s="558" customFormat="1" ht="12.75" hidden="1">
      <c r="A278" s="471"/>
      <c r="B278" s="556"/>
      <c r="C278" s="556"/>
      <c r="D278" s="557"/>
      <c r="E278" s="556"/>
      <c r="F278" s="158"/>
    </row>
    <row r="279" spans="1:6" ht="52.5" customHeight="1">
      <c r="A279" s="390" t="s">
        <v>1012</v>
      </c>
      <c r="B279" s="147" t="s">
        <v>654</v>
      </c>
      <c r="C279" s="147" t="s">
        <v>532</v>
      </c>
      <c r="D279" s="148" t="s">
        <v>1013</v>
      </c>
      <c r="E279" s="147"/>
      <c r="F279" s="158">
        <f>F280</f>
        <v>153886322</v>
      </c>
    </row>
    <row r="280" spans="1:6" ht="25.5">
      <c r="A280" s="159" t="s">
        <v>90</v>
      </c>
      <c r="B280" s="147" t="s">
        <v>654</v>
      </c>
      <c r="C280" s="147" t="s">
        <v>532</v>
      </c>
      <c r="D280" s="148" t="s">
        <v>1013</v>
      </c>
      <c r="E280" s="147" t="s">
        <v>79</v>
      </c>
      <c r="F280" s="158">
        <v>153886322</v>
      </c>
    </row>
    <row r="281" spans="1:6" ht="25.5">
      <c r="A281" s="159" t="s">
        <v>989</v>
      </c>
      <c r="B281" s="147" t="s">
        <v>654</v>
      </c>
      <c r="C281" s="147" t="s">
        <v>532</v>
      </c>
      <c r="D281" s="148" t="s">
        <v>990</v>
      </c>
      <c r="E281" s="147"/>
      <c r="F281" s="158">
        <f>F282</f>
        <v>5082425</v>
      </c>
    </row>
    <row r="282" spans="1:6" ht="25.5">
      <c r="A282" s="159" t="s">
        <v>90</v>
      </c>
      <c r="B282" s="147" t="s">
        <v>654</v>
      </c>
      <c r="C282" s="147" t="s">
        <v>532</v>
      </c>
      <c r="D282" s="148" t="s">
        <v>990</v>
      </c>
      <c r="E282" s="147">
        <v>600</v>
      </c>
      <c r="F282" s="158">
        <v>5082425</v>
      </c>
    </row>
    <row r="283" spans="1:6" ht="25.5">
      <c r="A283" s="406" t="s">
        <v>960</v>
      </c>
      <c r="B283" s="147" t="s">
        <v>654</v>
      </c>
      <c r="C283" s="147" t="s">
        <v>532</v>
      </c>
      <c r="D283" s="148" t="s">
        <v>961</v>
      </c>
      <c r="E283" s="147"/>
      <c r="F283" s="158">
        <f>F284</f>
        <v>103723</v>
      </c>
    </row>
    <row r="284" spans="1:6" ht="25.5">
      <c r="A284" s="159" t="s">
        <v>90</v>
      </c>
      <c r="B284" s="147" t="s">
        <v>654</v>
      </c>
      <c r="C284" s="147" t="s">
        <v>532</v>
      </c>
      <c r="D284" s="148" t="s">
        <v>961</v>
      </c>
      <c r="E284" s="147" t="s">
        <v>79</v>
      </c>
      <c r="F284" s="158">
        <v>103723</v>
      </c>
    </row>
    <row r="285" spans="1:6" ht="12.75">
      <c r="A285" s="389" t="s">
        <v>750</v>
      </c>
      <c r="B285" s="164" t="s">
        <v>654</v>
      </c>
      <c r="C285" s="164" t="s">
        <v>532</v>
      </c>
      <c r="D285" s="165" t="s">
        <v>331</v>
      </c>
      <c r="E285" s="164"/>
      <c r="F285" s="158">
        <f>F286</f>
        <v>3423556</v>
      </c>
    </row>
    <row r="286" spans="1:6" ht="52.5" customHeight="1">
      <c r="A286" s="389" t="s">
        <v>942</v>
      </c>
      <c r="B286" s="164" t="s">
        <v>654</v>
      </c>
      <c r="C286" s="164" t="s">
        <v>532</v>
      </c>
      <c r="D286" s="165" t="s">
        <v>332</v>
      </c>
      <c r="E286" s="164"/>
      <c r="F286" s="158">
        <f>F287</f>
        <v>3423556</v>
      </c>
    </row>
    <row r="287" spans="1:6" ht="25.5">
      <c r="A287" s="303" t="s">
        <v>90</v>
      </c>
      <c r="B287" s="164" t="s">
        <v>654</v>
      </c>
      <c r="C287" s="164" t="s">
        <v>532</v>
      </c>
      <c r="D287" s="165" t="s">
        <v>332</v>
      </c>
      <c r="E287" s="164">
        <v>600</v>
      </c>
      <c r="F287" s="158">
        <f>3355086+68470</f>
        <v>3423556</v>
      </c>
    </row>
    <row r="288" spans="1:6" ht="12.75">
      <c r="A288" s="389" t="s">
        <v>108</v>
      </c>
      <c r="B288" s="164" t="s">
        <v>654</v>
      </c>
      <c r="C288" s="164" t="s">
        <v>532</v>
      </c>
      <c r="D288" s="165" t="s">
        <v>62</v>
      </c>
      <c r="E288" s="164"/>
      <c r="F288" s="158">
        <f>F289</f>
        <v>3873398</v>
      </c>
    </row>
    <row r="289" spans="1:6" ht="38.25">
      <c r="A289" s="389" t="s">
        <v>153</v>
      </c>
      <c r="B289" s="164" t="s">
        <v>654</v>
      </c>
      <c r="C289" s="164" t="s">
        <v>532</v>
      </c>
      <c r="D289" s="165" t="s">
        <v>63</v>
      </c>
      <c r="E289" s="164"/>
      <c r="F289" s="158">
        <f>F290</f>
        <v>3873398</v>
      </c>
    </row>
    <row r="290" spans="1:6" ht="25.5">
      <c r="A290" s="303" t="s">
        <v>90</v>
      </c>
      <c r="B290" s="164" t="s">
        <v>654</v>
      </c>
      <c r="C290" s="164" t="s">
        <v>532</v>
      </c>
      <c r="D290" s="165" t="s">
        <v>63</v>
      </c>
      <c r="E290" s="164">
        <v>600</v>
      </c>
      <c r="F290" s="158">
        <f>3795930+77468</f>
        <v>3873398</v>
      </c>
    </row>
    <row r="291" spans="1:6" ht="12.75" customHeight="1" hidden="1">
      <c r="A291" s="407"/>
      <c r="B291" s="408"/>
      <c r="C291" s="408"/>
      <c r="D291" s="409"/>
      <c r="E291" s="408"/>
      <c r="F291" s="410">
        <f>F292</f>
        <v>0</v>
      </c>
    </row>
    <row r="292" spans="1:6" ht="12.75" customHeight="1" hidden="1">
      <c r="A292" s="407"/>
      <c r="B292" s="408"/>
      <c r="C292" s="408"/>
      <c r="D292" s="409"/>
      <c r="E292" s="408"/>
      <c r="F292" s="410"/>
    </row>
    <row r="293" spans="1:6" ht="12.75" customHeight="1" hidden="1">
      <c r="A293" s="337" t="s">
        <v>107</v>
      </c>
      <c r="B293" s="147" t="s">
        <v>654</v>
      </c>
      <c r="C293" s="147" t="s">
        <v>532</v>
      </c>
      <c r="D293" s="148" t="s">
        <v>703</v>
      </c>
      <c r="E293" s="147"/>
      <c r="F293" s="146">
        <f>F294</f>
        <v>0</v>
      </c>
    </row>
    <row r="294" spans="1:6" ht="38.25" customHeight="1" hidden="1">
      <c r="A294" s="337" t="s">
        <v>766</v>
      </c>
      <c r="B294" s="147" t="s">
        <v>654</v>
      </c>
      <c r="C294" s="147" t="s">
        <v>532</v>
      </c>
      <c r="D294" s="148" t="s">
        <v>704</v>
      </c>
      <c r="E294" s="147"/>
      <c r="F294" s="146">
        <f>F295</f>
        <v>0</v>
      </c>
    </row>
    <row r="295" spans="1:6" ht="25.5" customHeight="1" hidden="1">
      <c r="A295" s="159" t="s">
        <v>90</v>
      </c>
      <c r="B295" s="147" t="s">
        <v>654</v>
      </c>
      <c r="C295" s="147" t="s">
        <v>532</v>
      </c>
      <c r="D295" s="148" t="s">
        <v>704</v>
      </c>
      <c r="E295" s="147">
        <v>600</v>
      </c>
      <c r="F295" s="158"/>
    </row>
    <row r="296" spans="1:6" ht="12.75" customHeight="1" hidden="1">
      <c r="A296" s="337" t="s">
        <v>108</v>
      </c>
      <c r="B296" s="147" t="s">
        <v>654</v>
      </c>
      <c r="C296" s="147" t="s">
        <v>532</v>
      </c>
      <c r="D296" s="148" t="s">
        <v>62</v>
      </c>
      <c r="E296" s="147"/>
      <c r="F296" s="146">
        <f>F297</f>
        <v>0</v>
      </c>
    </row>
    <row r="297" spans="1:6" ht="25.5" customHeight="1" hidden="1">
      <c r="A297" s="337" t="s">
        <v>494</v>
      </c>
      <c r="B297" s="147" t="s">
        <v>654</v>
      </c>
      <c r="C297" s="147" t="s">
        <v>532</v>
      </c>
      <c r="D297" s="148" t="s">
        <v>875</v>
      </c>
      <c r="E297" s="147"/>
      <c r="F297" s="146">
        <f>F298</f>
        <v>0</v>
      </c>
    </row>
    <row r="298" spans="1:6" ht="25.5" customHeight="1" hidden="1">
      <c r="A298" s="159" t="s">
        <v>90</v>
      </c>
      <c r="B298" s="147" t="s">
        <v>654</v>
      </c>
      <c r="C298" s="147" t="s">
        <v>532</v>
      </c>
      <c r="D298" s="148" t="s">
        <v>875</v>
      </c>
      <c r="E298" s="147">
        <v>600</v>
      </c>
      <c r="F298" s="158"/>
    </row>
    <row r="299" spans="1:6" ht="63.75" customHeight="1" hidden="1">
      <c r="A299" s="84" t="s">
        <v>465</v>
      </c>
      <c r="B299" s="147" t="s">
        <v>654</v>
      </c>
      <c r="C299" s="147" t="s">
        <v>532</v>
      </c>
      <c r="D299" s="148" t="s">
        <v>466</v>
      </c>
      <c r="E299" s="147"/>
      <c r="F299" s="158">
        <f>F300</f>
        <v>0</v>
      </c>
    </row>
    <row r="300" spans="1:6" ht="39.75" customHeight="1" hidden="1">
      <c r="A300" s="159" t="s">
        <v>508</v>
      </c>
      <c r="B300" s="147" t="s">
        <v>654</v>
      </c>
      <c r="C300" s="147" t="s">
        <v>532</v>
      </c>
      <c r="D300" s="148" t="s">
        <v>467</v>
      </c>
      <c r="E300" s="147"/>
      <c r="F300" s="158">
        <f>F301</f>
        <v>0</v>
      </c>
    </row>
    <row r="301" spans="1:6" ht="38.25" customHeight="1" hidden="1">
      <c r="A301" s="7" t="s">
        <v>219</v>
      </c>
      <c r="B301" s="147" t="s">
        <v>654</v>
      </c>
      <c r="C301" s="147" t="s">
        <v>532</v>
      </c>
      <c r="D301" s="148" t="s">
        <v>468</v>
      </c>
      <c r="E301" s="147"/>
      <c r="F301" s="158">
        <f>F302</f>
        <v>0</v>
      </c>
    </row>
    <row r="302" spans="1:6" ht="25.5" customHeight="1" hidden="1">
      <c r="A302" s="159" t="s">
        <v>221</v>
      </c>
      <c r="B302" s="147" t="s">
        <v>654</v>
      </c>
      <c r="C302" s="147" t="s">
        <v>532</v>
      </c>
      <c r="D302" s="148" t="s">
        <v>468</v>
      </c>
      <c r="E302" s="147">
        <v>600</v>
      </c>
      <c r="F302" s="158">
        <v>0</v>
      </c>
    </row>
    <row r="303" spans="1:6" ht="12.75">
      <c r="A303" s="84" t="s">
        <v>41</v>
      </c>
      <c r="B303" s="147" t="s">
        <v>654</v>
      </c>
      <c r="C303" s="163" t="s">
        <v>101</v>
      </c>
      <c r="D303" s="148"/>
      <c r="E303" s="147"/>
      <c r="F303" s="146">
        <f>F304</f>
        <v>17277032</v>
      </c>
    </row>
    <row r="304" spans="1:6" ht="38.25">
      <c r="A304" s="150" t="s">
        <v>277</v>
      </c>
      <c r="B304" s="147" t="s">
        <v>654</v>
      </c>
      <c r="C304" s="163" t="s">
        <v>101</v>
      </c>
      <c r="D304" s="148" t="s">
        <v>557</v>
      </c>
      <c r="E304" s="147"/>
      <c r="F304" s="146">
        <f>F305</f>
        <v>17277032</v>
      </c>
    </row>
    <row r="305" spans="1:6" ht="38.25">
      <c r="A305" s="84" t="s">
        <v>707</v>
      </c>
      <c r="B305" s="147" t="s">
        <v>654</v>
      </c>
      <c r="C305" s="163" t="s">
        <v>101</v>
      </c>
      <c r="D305" s="160" t="s">
        <v>306</v>
      </c>
      <c r="E305" s="149" t="s">
        <v>87</v>
      </c>
      <c r="F305" s="146">
        <f>F306+F312+F309</f>
        <v>17277032</v>
      </c>
    </row>
    <row r="306" spans="1:6" ht="25.5">
      <c r="A306" s="7" t="s">
        <v>460</v>
      </c>
      <c r="B306" s="147" t="s">
        <v>654</v>
      </c>
      <c r="C306" s="163" t="s">
        <v>101</v>
      </c>
      <c r="D306" s="148" t="s">
        <v>307</v>
      </c>
      <c r="E306" s="149"/>
      <c r="F306" s="146">
        <f>F307</f>
        <v>13465532</v>
      </c>
    </row>
    <row r="307" spans="1:6" ht="25.5">
      <c r="A307" s="149" t="s">
        <v>494</v>
      </c>
      <c r="B307" s="147" t="s">
        <v>654</v>
      </c>
      <c r="C307" s="163" t="s">
        <v>101</v>
      </c>
      <c r="D307" s="148" t="s">
        <v>308</v>
      </c>
      <c r="E307" s="147" t="s">
        <v>87</v>
      </c>
      <c r="F307" s="146">
        <f>F308</f>
        <v>13465532</v>
      </c>
    </row>
    <row r="308" spans="1:6" ht="25.5">
      <c r="A308" s="159" t="s">
        <v>90</v>
      </c>
      <c r="B308" s="147" t="s">
        <v>654</v>
      </c>
      <c r="C308" s="163" t="s">
        <v>101</v>
      </c>
      <c r="D308" s="148" t="s">
        <v>308</v>
      </c>
      <c r="E308" s="147">
        <v>600</v>
      </c>
      <c r="F308" s="158">
        <f>16892835+280390-3811500+103807</f>
        <v>13465532</v>
      </c>
    </row>
    <row r="309" spans="1:6" ht="38.25">
      <c r="A309" s="159" t="s">
        <v>962</v>
      </c>
      <c r="B309" s="147" t="s">
        <v>654</v>
      </c>
      <c r="C309" s="163" t="s">
        <v>101</v>
      </c>
      <c r="D309" s="148" t="s">
        <v>963</v>
      </c>
      <c r="E309" s="149"/>
      <c r="F309" s="158">
        <f>F310</f>
        <v>3811500</v>
      </c>
    </row>
    <row r="310" spans="1:6" ht="12.75">
      <c r="A310" s="159" t="s">
        <v>214</v>
      </c>
      <c r="B310" s="147" t="s">
        <v>654</v>
      </c>
      <c r="C310" s="163" t="s">
        <v>101</v>
      </c>
      <c r="D310" s="148" t="s">
        <v>964</v>
      </c>
      <c r="E310" s="147" t="s">
        <v>87</v>
      </c>
      <c r="F310" s="158">
        <f>F311</f>
        <v>3811500</v>
      </c>
    </row>
    <row r="311" spans="1:6" ht="25.5">
      <c r="A311" s="159" t="s">
        <v>90</v>
      </c>
      <c r="B311" s="147" t="s">
        <v>654</v>
      </c>
      <c r="C311" s="163" t="s">
        <v>101</v>
      </c>
      <c r="D311" s="148" t="s">
        <v>964</v>
      </c>
      <c r="E311" s="147">
        <v>600</v>
      </c>
      <c r="F311" s="158">
        <v>3811500</v>
      </c>
    </row>
    <row r="312" spans="1:6" ht="12.75" hidden="1">
      <c r="A312" s="337" t="s">
        <v>107</v>
      </c>
      <c r="B312" s="147" t="s">
        <v>654</v>
      </c>
      <c r="C312" s="163" t="s">
        <v>101</v>
      </c>
      <c r="D312" s="148" t="s">
        <v>703</v>
      </c>
      <c r="E312" s="147"/>
      <c r="F312" s="146">
        <f>F313</f>
        <v>0</v>
      </c>
    </row>
    <row r="313" spans="1:6" ht="38.25" hidden="1">
      <c r="A313" s="337" t="s">
        <v>766</v>
      </c>
      <c r="B313" s="147" t="s">
        <v>654</v>
      </c>
      <c r="C313" s="163" t="s">
        <v>101</v>
      </c>
      <c r="D313" s="148" t="s">
        <v>704</v>
      </c>
      <c r="E313" s="147"/>
      <c r="F313" s="146">
        <f>F314</f>
        <v>0</v>
      </c>
    </row>
    <row r="314" spans="1:6" ht="25.5" hidden="1">
      <c r="A314" s="159" t="s">
        <v>90</v>
      </c>
      <c r="B314" s="147" t="s">
        <v>654</v>
      </c>
      <c r="C314" s="163" t="s">
        <v>101</v>
      </c>
      <c r="D314" s="148" t="s">
        <v>704</v>
      </c>
      <c r="E314" s="147">
        <v>600</v>
      </c>
      <c r="F314" s="158"/>
    </row>
    <row r="315" spans="1:6" ht="12.75">
      <c r="A315" s="152" t="s">
        <v>42</v>
      </c>
      <c r="B315" s="151" t="s">
        <v>654</v>
      </c>
      <c r="C315" s="151" t="s">
        <v>654</v>
      </c>
      <c r="D315" s="151" t="s">
        <v>87</v>
      </c>
      <c r="E315" s="151" t="s">
        <v>87</v>
      </c>
      <c r="F315" s="146">
        <f>F316</f>
        <v>2634600</v>
      </c>
    </row>
    <row r="316" spans="1:6" ht="38.25">
      <c r="A316" s="150" t="s">
        <v>438</v>
      </c>
      <c r="B316" s="147" t="s">
        <v>654</v>
      </c>
      <c r="C316" s="147" t="s">
        <v>654</v>
      </c>
      <c r="D316" s="148" t="s">
        <v>437</v>
      </c>
      <c r="E316" s="147" t="s">
        <v>87</v>
      </c>
      <c r="F316" s="146">
        <f>F317</f>
        <v>2634600</v>
      </c>
    </row>
    <row r="317" spans="1:6" ht="76.5">
      <c r="A317" s="84" t="s">
        <v>352</v>
      </c>
      <c r="B317" s="147" t="s">
        <v>654</v>
      </c>
      <c r="C317" s="147" t="s">
        <v>654</v>
      </c>
      <c r="D317" s="160" t="s">
        <v>488</v>
      </c>
      <c r="E317" s="149" t="s">
        <v>87</v>
      </c>
      <c r="F317" s="146">
        <f>F318+F328</f>
        <v>2634600</v>
      </c>
    </row>
    <row r="318" spans="1:6" ht="25.5">
      <c r="A318" s="7" t="s">
        <v>487</v>
      </c>
      <c r="B318" s="147" t="s">
        <v>654</v>
      </c>
      <c r="C318" s="147" t="s">
        <v>654</v>
      </c>
      <c r="D318" s="148" t="s">
        <v>486</v>
      </c>
      <c r="E318" s="149"/>
      <c r="F318" s="146">
        <f>F319+F322+F325</f>
        <v>2554600</v>
      </c>
    </row>
    <row r="319" spans="1:6" ht="12.75">
      <c r="A319" s="7" t="s">
        <v>485</v>
      </c>
      <c r="B319" s="147" t="s">
        <v>654</v>
      </c>
      <c r="C319" s="147" t="s">
        <v>654</v>
      </c>
      <c r="D319" s="148" t="s">
        <v>484</v>
      </c>
      <c r="E319" s="149"/>
      <c r="F319" s="146">
        <f>SUM(F320:F321)</f>
        <v>7000</v>
      </c>
    </row>
    <row r="320" spans="1:6" ht="25.5" customHeight="1" hidden="1">
      <c r="A320" s="159" t="s">
        <v>228</v>
      </c>
      <c r="B320" s="147" t="s">
        <v>654</v>
      </c>
      <c r="C320" s="147" t="s">
        <v>654</v>
      </c>
      <c r="D320" s="148" t="s">
        <v>484</v>
      </c>
      <c r="E320" s="149">
        <v>200</v>
      </c>
      <c r="F320" s="158"/>
    </row>
    <row r="321" spans="1:6" ht="25.5">
      <c r="A321" s="159" t="s">
        <v>90</v>
      </c>
      <c r="B321" s="147" t="s">
        <v>654</v>
      </c>
      <c r="C321" s="147" t="s">
        <v>654</v>
      </c>
      <c r="D321" s="148" t="s">
        <v>484</v>
      </c>
      <c r="E321" s="149">
        <v>600</v>
      </c>
      <c r="F321" s="158">
        <v>7000</v>
      </c>
    </row>
    <row r="322" spans="1:6" ht="12.75">
      <c r="A322" s="49" t="s">
        <v>634</v>
      </c>
      <c r="B322" s="147" t="s">
        <v>654</v>
      </c>
      <c r="C322" s="147" t="s">
        <v>654</v>
      </c>
      <c r="D322" s="148" t="s">
        <v>635</v>
      </c>
      <c r="E322" s="149"/>
      <c r="F322" s="146">
        <f>SUM(F323:F324)</f>
        <v>993564</v>
      </c>
    </row>
    <row r="323" spans="1:6" ht="12.75">
      <c r="A323" s="159" t="s">
        <v>81</v>
      </c>
      <c r="B323" s="147" t="s">
        <v>654</v>
      </c>
      <c r="C323" s="147" t="s">
        <v>654</v>
      </c>
      <c r="D323" s="148" t="s">
        <v>635</v>
      </c>
      <c r="E323" s="149">
        <v>300</v>
      </c>
      <c r="F323" s="158">
        <f>442037+154195</f>
        <v>596232</v>
      </c>
    </row>
    <row r="324" spans="1:6" ht="25.5">
      <c r="A324" s="159" t="s">
        <v>90</v>
      </c>
      <c r="B324" s="147" t="s">
        <v>654</v>
      </c>
      <c r="C324" s="147" t="s">
        <v>654</v>
      </c>
      <c r="D324" s="148" t="s">
        <v>635</v>
      </c>
      <c r="E324" s="149">
        <v>600</v>
      </c>
      <c r="F324" s="158">
        <f>551527-154195</f>
        <v>397332</v>
      </c>
    </row>
    <row r="325" spans="1:6" ht="25.5">
      <c r="A325" s="49" t="s">
        <v>495</v>
      </c>
      <c r="B325" s="147" t="s">
        <v>654</v>
      </c>
      <c r="C325" s="147" t="s">
        <v>654</v>
      </c>
      <c r="D325" s="148" t="s">
        <v>281</v>
      </c>
      <c r="E325" s="149"/>
      <c r="F325" s="146">
        <f>SUM(F326:F327)</f>
        <v>1554036</v>
      </c>
    </row>
    <row r="326" spans="1:6" ht="12.75">
      <c r="A326" s="159" t="s">
        <v>81</v>
      </c>
      <c r="B326" s="147" t="s">
        <v>654</v>
      </c>
      <c r="C326" s="147" t="s">
        <v>654</v>
      </c>
      <c r="D326" s="148" t="s">
        <v>281</v>
      </c>
      <c r="E326" s="149">
        <v>300</v>
      </c>
      <c r="F326" s="158">
        <f>691391+241177</f>
        <v>932568</v>
      </c>
    </row>
    <row r="327" spans="1:6" ht="25.5">
      <c r="A327" s="159" t="s">
        <v>90</v>
      </c>
      <c r="B327" s="147" t="s">
        <v>654</v>
      </c>
      <c r="C327" s="147" t="s">
        <v>654</v>
      </c>
      <c r="D327" s="148" t="s">
        <v>281</v>
      </c>
      <c r="E327" s="149">
        <v>600</v>
      </c>
      <c r="F327" s="158">
        <f>862645-241177</f>
        <v>621468</v>
      </c>
    </row>
    <row r="328" spans="1:6" ht="37.5" customHeight="1">
      <c r="A328" s="7" t="s">
        <v>752</v>
      </c>
      <c r="B328" s="147" t="s">
        <v>654</v>
      </c>
      <c r="C328" s="147" t="s">
        <v>654</v>
      </c>
      <c r="D328" s="148" t="s">
        <v>753</v>
      </c>
      <c r="E328" s="149"/>
      <c r="F328" s="146">
        <f>F329</f>
        <v>80000</v>
      </c>
    </row>
    <row r="329" spans="1:6" ht="12.75">
      <c r="A329" s="7" t="s">
        <v>755</v>
      </c>
      <c r="B329" s="147" t="s">
        <v>654</v>
      </c>
      <c r="C329" s="147" t="s">
        <v>654</v>
      </c>
      <c r="D329" s="148" t="s">
        <v>754</v>
      </c>
      <c r="E329" s="149"/>
      <c r="F329" s="146">
        <f>F330</f>
        <v>80000</v>
      </c>
    </row>
    <row r="330" spans="1:6" ht="25.5">
      <c r="A330" s="159" t="s">
        <v>228</v>
      </c>
      <c r="B330" s="147" t="s">
        <v>654</v>
      </c>
      <c r="C330" s="147" t="s">
        <v>654</v>
      </c>
      <c r="D330" s="148" t="s">
        <v>754</v>
      </c>
      <c r="E330" s="149">
        <v>200</v>
      </c>
      <c r="F330" s="158">
        <f>90000-40000+30000</f>
        <v>80000</v>
      </c>
    </row>
    <row r="331" spans="1:6" ht="12.75">
      <c r="A331" s="152" t="s">
        <v>564</v>
      </c>
      <c r="B331" s="151" t="s">
        <v>654</v>
      </c>
      <c r="C331" s="151" t="s">
        <v>102</v>
      </c>
      <c r="D331" s="151" t="s">
        <v>87</v>
      </c>
      <c r="E331" s="151" t="s">
        <v>87</v>
      </c>
      <c r="F331" s="146">
        <f>F332</f>
        <v>11466791</v>
      </c>
    </row>
    <row r="332" spans="1:6" ht="38.25">
      <c r="A332" s="150" t="s">
        <v>279</v>
      </c>
      <c r="B332" s="147" t="s">
        <v>654</v>
      </c>
      <c r="C332" s="147" t="s">
        <v>102</v>
      </c>
      <c r="D332" s="148" t="s">
        <v>557</v>
      </c>
      <c r="E332" s="147" t="s">
        <v>87</v>
      </c>
      <c r="F332" s="146">
        <f>F333+F347</f>
        <v>11466791</v>
      </c>
    </row>
    <row r="333" spans="1:6" ht="38.25">
      <c r="A333" s="84" t="s">
        <v>708</v>
      </c>
      <c r="B333" s="147" t="s">
        <v>654</v>
      </c>
      <c r="C333" s="147" t="s">
        <v>102</v>
      </c>
      <c r="D333" s="148" t="s">
        <v>309</v>
      </c>
      <c r="E333" s="149" t="s">
        <v>87</v>
      </c>
      <c r="F333" s="146">
        <f>F334+F337+F342</f>
        <v>11461791</v>
      </c>
    </row>
    <row r="334" spans="1:6" ht="51">
      <c r="A334" s="7" t="s">
        <v>461</v>
      </c>
      <c r="B334" s="147" t="s">
        <v>654</v>
      </c>
      <c r="C334" s="147" t="s">
        <v>102</v>
      </c>
      <c r="D334" s="148" t="s">
        <v>310</v>
      </c>
      <c r="E334" s="149"/>
      <c r="F334" s="146">
        <f>F335</f>
        <v>236023</v>
      </c>
    </row>
    <row r="335" spans="1:6" ht="38.25">
      <c r="A335" s="159" t="s">
        <v>596</v>
      </c>
      <c r="B335" s="147" t="s">
        <v>654</v>
      </c>
      <c r="C335" s="147" t="s">
        <v>102</v>
      </c>
      <c r="D335" s="148" t="s">
        <v>311</v>
      </c>
      <c r="E335" s="147"/>
      <c r="F335" s="146">
        <f>F336</f>
        <v>236023</v>
      </c>
    </row>
    <row r="336" spans="1:6" ht="51">
      <c r="A336" s="159" t="s">
        <v>735</v>
      </c>
      <c r="B336" s="147" t="s">
        <v>654</v>
      </c>
      <c r="C336" s="147" t="s">
        <v>102</v>
      </c>
      <c r="D336" s="148" t="s">
        <v>311</v>
      </c>
      <c r="E336" s="147">
        <v>100</v>
      </c>
      <c r="F336" s="158">
        <v>236023</v>
      </c>
    </row>
    <row r="337" spans="1:6" ht="28.5" customHeight="1">
      <c r="A337" s="7" t="s">
        <v>326</v>
      </c>
      <c r="B337" s="147" t="s">
        <v>654</v>
      </c>
      <c r="C337" s="147" t="s">
        <v>102</v>
      </c>
      <c r="D337" s="148" t="s">
        <v>313</v>
      </c>
      <c r="E337" s="147"/>
      <c r="F337" s="146">
        <f>F338</f>
        <v>9669393</v>
      </c>
    </row>
    <row r="338" spans="1:6" ht="25.5">
      <c r="A338" s="149" t="s">
        <v>494</v>
      </c>
      <c r="B338" s="147" t="s">
        <v>654</v>
      </c>
      <c r="C338" s="147" t="s">
        <v>102</v>
      </c>
      <c r="D338" s="148" t="s">
        <v>314</v>
      </c>
      <c r="E338" s="147" t="s">
        <v>87</v>
      </c>
      <c r="F338" s="146">
        <f>SUM(F339:F341)</f>
        <v>9669393</v>
      </c>
    </row>
    <row r="339" spans="1:6" ht="51">
      <c r="A339" s="159" t="s">
        <v>735</v>
      </c>
      <c r="B339" s="147" t="s">
        <v>654</v>
      </c>
      <c r="C339" s="147" t="s">
        <v>102</v>
      </c>
      <c r="D339" s="148" t="s">
        <v>314</v>
      </c>
      <c r="E339" s="147" t="s">
        <v>592</v>
      </c>
      <c r="F339" s="158">
        <v>7792459</v>
      </c>
    </row>
    <row r="340" spans="1:6" ht="25.5">
      <c r="A340" s="159" t="s">
        <v>228</v>
      </c>
      <c r="B340" s="147" t="s">
        <v>654</v>
      </c>
      <c r="C340" s="147" t="s">
        <v>102</v>
      </c>
      <c r="D340" s="148" t="s">
        <v>314</v>
      </c>
      <c r="E340" s="147" t="s">
        <v>74</v>
      </c>
      <c r="F340" s="158">
        <v>1871644</v>
      </c>
    </row>
    <row r="341" spans="1:6" ht="12.75">
      <c r="A341" s="159" t="s">
        <v>77</v>
      </c>
      <c r="B341" s="147" t="s">
        <v>654</v>
      </c>
      <c r="C341" s="147" t="s">
        <v>102</v>
      </c>
      <c r="D341" s="148" t="s">
        <v>314</v>
      </c>
      <c r="E341" s="147">
        <v>800</v>
      </c>
      <c r="F341" s="158">
        <v>5290</v>
      </c>
    </row>
    <row r="342" spans="1:6" ht="25.5">
      <c r="A342" s="149" t="s">
        <v>637</v>
      </c>
      <c r="B342" s="147" t="s">
        <v>654</v>
      </c>
      <c r="C342" s="147" t="s">
        <v>102</v>
      </c>
      <c r="D342" s="148" t="s">
        <v>639</v>
      </c>
      <c r="E342" s="147"/>
      <c r="F342" s="146">
        <f>F343</f>
        <v>1556375</v>
      </c>
    </row>
    <row r="343" spans="1:6" ht="25.5">
      <c r="A343" s="149" t="s">
        <v>731</v>
      </c>
      <c r="B343" s="147" t="s">
        <v>654</v>
      </c>
      <c r="C343" s="147" t="s">
        <v>102</v>
      </c>
      <c r="D343" s="148" t="s">
        <v>640</v>
      </c>
      <c r="E343" s="147"/>
      <c r="F343" s="146">
        <f>SUM(F344:F346)</f>
        <v>1556375</v>
      </c>
    </row>
    <row r="344" spans="1:6" ht="51">
      <c r="A344" s="159" t="s">
        <v>735</v>
      </c>
      <c r="B344" s="147" t="s">
        <v>654</v>
      </c>
      <c r="C344" s="147" t="s">
        <v>102</v>
      </c>
      <c r="D344" s="148" t="s">
        <v>640</v>
      </c>
      <c r="E344" s="147" t="s">
        <v>592</v>
      </c>
      <c r="F344" s="158">
        <f>953239+287878+118558</f>
        <v>1359675</v>
      </c>
    </row>
    <row r="345" spans="1:6" ht="25.5">
      <c r="A345" s="159" t="s">
        <v>228</v>
      </c>
      <c r="B345" s="147" t="s">
        <v>654</v>
      </c>
      <c r="C345" s="147" t="s">
        <v>102</v>
      </c>
      <c r="D345" s="148" t="s">
        <v>640</v>
      </c>
      <c r="E345" s="147" t="s">
        <v>74</v>
      </c>
      <c r="F345" s="158">
        <v>196700</v>
      </c>
    </row>
    <row r="346" spans="1:6" ht="12.75" customHeight="1">
      <c r="A346" s="145" t="s">
        <v>77</v>
      </c>
      <c r="B346" s="143" t="s">
        <v>654</v>
      </c>
      <c r="C346" s="143" t="s">
        <v>102</v>
      </c>
      <c r="D346" s="144" t="s">
        <v>640</v>
      </c>
      <c r="E346" s="143">
        <v>800</v>
      </c>
      <c r="F346" s="142"/>
    </row>
    <row r="347" spans="1:6" ht="16.5" customHeight="1">
      <c r="A347" s="159" t="s">
        <v>459</v>
      </c>
      <c r="B347" s="147" t="s">
        <v>654</v>
      </c>
      <c r="C347" s="147" t="s">
        <v>102</v>
      </c>
      <c r="D347" s="148" t="s">
        <v>304</v>
      </c>
      <c r="E347" s="147"/>
      <c r="F347" s="158">
        <f>F348</f>
        <v>5000</v>
      </c>
    </row>
    <row r="348" spans="1:6" ht="12.75">
      <c r="A348" s="159" t="s">
        <v>274</v>
      </c>
      <c r="B348" s="147" t="s">
        <v>654</v>
      </c>
      <c r="C348" s="147" t="s">
        <v>102</v>
      </c>
      <c r="D348" s="148" t="s">
        <v>273</v>
      </c>
      <c r="E348" s="147"/>
      <c r="F348" s="158">
        <f>F349</f>
        <v>5000</v>
      </c>
    </row>
    <row r="349" spans="1:6" ht="12.75">
      <c r="A349" s="159" t="s">
        <v>81</v>
      </c>
      <c r="B349" s="147" t="s">
        <v>654</v>
      </c>
      <c r="C349" s="147" t="s">
        <v>102</v>
      </c>
      <c r="D349" s="148" t="s">
        <v>273</v>
      </c>
      <c r="E349" s="147">
        <v>300</v>
      </c>
      <c r="F349" s="158">
        <v>5000</v>
      </c>
    </row>
    <row r="350" spans="1:6" ht="12.75" customHeight="1" hidden="1">
      <c r="A350" s="398"/>
      <c r="B350" s="559"/>
      <c r="C350" s="559"/>
      <c r="D350" s="560"/>
      <c r="E350" s="559"/>
      <c r="F350" s="561"/>
    </row>
    <row r="351" spans="1:6" ht="12.75" customHeight="1" hidden="1">
      <c r="A351" s="398"/>
      <c r="B351" s="559"/>
      <c r="C351" s="559"/>
      <c r="D351" s="560"/>
      <c r="E351" s="559"/>
      <c r="F351" s="561"/>
    </row>
    <row r="352" spans="1:6" ht="12.75" customHeight="1" hidden="1">
      <c r="A352" s="398"/>
      <c r="B352" s="559"/>
      <c r="C352" s="559"/>
      <c r="D352" s="560"/>
      <c r="E352" s="559"/>
      <c r="F352" s="561"/>
    </row>
    <row r="353" spans="1:6" ht="12.75">
      <c r="A353" s="156" t="s">
        <v>722</v>
      </c>
      <c r="B353" s="154" t="s">
        <v>553</v>
      </c>
      <c r="C353" s="155" t="s">
        <v>462</v>
      </c>
      <c r="D353" s="154" t="s">
        <v>87</v>
      </c>
      <c r="E353" s="154" t="s">
        <v>87</v>
      </c>
      <c r="F353" s="161">
        <f>F354</f>
        <v>28914423</v>
      </c>
    </row>
    <row r="354" spans="1:6" ht="12.75">
      <c r="A354" s="152" t="s">
        <v>565</v>
      </c>
      <c r="B354" s="151" t="s">
        <v>553</v>
      </c>
      <c r="C354" s="151" t="s">
        <v>530</v>
      </c>
      <c r="D354" s="151" t="s">
        <v>87</v>
      </c>
      <c r="E354" s="151" t="s">
        <v>87</v>
      </c>
      <c r="F354" s="146">
        <f>F355</f>
        <v>28914423</v>
      </c>
    </row>
    <row r="355" spans="1:6" ht="25.5">
      <c r="A355" s="150" t="s">
        <v>15</v>
      </c>
      <c r="B355" s="147" t="s">
        <v>553</v>
      </c>
      <c r="C355" s="147" t="s">
        <v>530</v>
      </c>
      <c r="D355" s="148" t="s">
        <v>315</v>
      </c>
      <c r="E355" s="147" t="s">
        <v>87</v>
      </c>
      <c r="F355" s="146">
        <f>F356+F362</f>
        <v>28914423</v>
      </c>
    </row>
    <row r="356" spans="1:6" ht="25.5">
      <c r="A356" s="84" t="s">
        <v>586</v>
      </c>
      <c r="B356" s="147" t="s">
        <v>553</v>
      </c>
      <c r="C356" s="147" t="s">
        <v>530</v>
      </c>
      <c r="D356" s="148" t="s">
        <v>316</v>
      </c>
      <c r="E356" s="149" t="s">
        <v>87</v>
      </c>
      <c r="F356" s="146">
        <f>F357</f>
        <v>5279218</v>
      </c>
    </row>
    <row r="357" spans="1:6" ht="12.75">
      <c r="A357" s="335" t="s">
        <v>483</v>
      </c>
      <c r="B357" s="147" t="s">
        <v>553</v>
      </c>
      <c r="C357" s="147" t="s">
        <v>530</v>
      </c>
      <c r="D357" s="148" t="s">
        <v>317</v>
      </c>
      <c r="E357" s="149"/>
      <c r="F357" s="146">
        <f>F358</f>
        <v>5279218</v>
      </c>
    </row>
    <row r="358" spans="1:6" ht="25.5">
      <c r="A358" s="149" t="s">
        <v>733</v>
      </c>
      <c r="B358" s="147" t="s">
        <v>553</v>
      </c>
      <c r="C358" s="147" t="s">
        <v>530</v>
      </c>
      <c r="D358" s="148" t="s">
        <v>318</v>
      </c>
      <c r="E358" s="147" t="s">
        <v>87</v>
      </c>
      <c r="F358" s="146">
        <f>SUM(F359:F361)</f>
        <v>5279218</v>
      </c>
    </row>
    <row r="359" spans="1:6" ht="51">
      <c r="A359" s="159" t="s">
        <v>735</v>
      </c>
      <c r="B359" s="147" t="s">
        <v>553</v>
      </c>
      <c r="C359" s="147" t="s">
        <v>530</v>
      </c>
      <c r="D359" s="148" t="s">
        <v>318</v>
      </c>
      <c r="E359" s="147">
        <v>100</v>
      </c>
      <c r="F359" s="158">
        <f>3778920+1141234</f>
        <v>4920154</v>
      </c>
    </row>
    <row r="360" spans="1:6" ht="25.5">
      <c r="A360" s="159" t="s">
        <v>228</v>
      </c>
      <c r="B360" s="147" t="s">
        <v>553</v>
      </c>
      <c r="C360" s="147" t="s">
        <v>530</v>
      </c>
      <c r="D360" s="148" t="s">
        <v>318</v>
      </c>
      <c r="E360" s="147">
        <v>200</v>
      </c>
      <c r="F360" s="158">
        <f>48120+159750+6386+6336+105576</f>
        <v>326168</v>
      </c>
    </row>
    <row r="361" spans="1:6" ht="12.75">
      <c r="A361" s="159" t="s">
        <v>77</v>
      </c>
      <c r="B361" s="147" t="s">
        <v>553</v>
      </c>
      <c r="C361" s="147" t="s">
        <v>530</v>
      </c>
      <c r="D361" s="148" t="s">
        <v>318</v>
      </c>
      <c r="E361" s="147">
        <v>800</v>
      </c>
      <c r="F361" s="158">
        <v>32896</v>
      </c>
    </row>
    <row r="362" spans="1:6" ht="25.5">
      <c r="A362" s="84" t="s">
        <v>587</v>
      </c>
      <c r="B362" s="147" t="s">
        <v>553</v>
      </c>
      <c r="C362" s="147" t="s">
        <v>530</v>
      </c>
      <c r="D362" s="148" t="s">
        <v>319</v>
      </c>
      <c r="E362" s="149"/>
      <c r="F362" s="146">
        <f>F363</f>
        <v>23635205</v>
      </c>
    </row>
    <row r="363" spans="1:6" ht="38.25">
      <c r="A363" s="335" t="s">
        <v>641</v>
      </c>
      <c r="B363" s="147" t="s">
        <v>553</v>
      </c>
      <c r="C363" s="147" t="s">
        <v>530</v>
      </c>
      <c r="D363" s="148" t="s">
        <v>320</v>
      </c>
      <c r="E363" s="149"/>
      <c r="F363" s="146">
        <f>F364+F368+F366</f>
        <v>23635205</v>
      </c>
    </row>
    <row r="364" spans="1:6" ht="25.5">
      <c r="A364" s="149" t="s">
        <v>733</v>
      </c>
      <c r="B364" s="147" t="s">
        <v>553</v>
      </c>
      <c r="C364" s="147" t="s">
        <v>530</v>
      </c>
      <c r="D364" s="148" t="s">
        <v>321</v>
      </c>
      <c r="E364" s="149"/>
      <c r="F364" s="146">
        <f>F365</f>
        <v>23511205</v>
      </c>
    </row>
    <row r="365" spans="1:6" ht="25.5">
      <c r="A365" s="159" t="s">
        <v>90</v>
      </c>
      <c r="B365" s="147" t="s">
        <v>553</v>
      </c>
      <c r="C365" s="147" t="s">
        <v>530</v>
      </c>
      <c r="D365" s="148" t="s">
        <v>321</v>
      </c>
      <c r="E365" s="149">
        <v>600</v>
      </c>
      <c r="F365" s="158">
        <v>23511205</v>
      </c>
    </row>
    <row r="366" spans="1:6" ht="24">
      <c r="A366" s="336" t="s">
        <v>291</v>
      </c>
      <c r="B366" s="163" t="s">
        <v>553</v>
      </c>
      <c r="C366" s="147" t="s">
        <v>530</v>
      </c>
      <c r="D366" s="148" t="s">
        <v>270</v>
      </c>
      <c r="E366" s="149"/>
      <c r="F366" s="146">
        <f>F367</f>
        <v>124000</v>
      </c>
    </row>
    <row r="367" spans="1:6" ht="25.5">
      <c r="A367" s="145" t="s">
        <v>91</v>
      </c>
      <c r="B367" s="162" t="s">
        <v>553</v>
      </c>
      <c r="C367" s="143" t="s">
        <v>530</v>
      </c>
      <c r="D367" s="144" t="s">
        <v>270</v>
      </c>
      <c r="E367" s="157">
        <v>200</v>
      </c>
      <c r="F367" s="142">
        <f>150000-66000+40000</f>
        <v>124000</v>
      </c>
    </row>
    <row r="368" spans="1:6" ht="42" customHeight="1" hidden="1">
      <c r="A368" s="145" t="s">
        <v>810</v>
      </c>
      <c r="B368" s="163" t="s">
        <v>553</v>
      </c>
      <c r="C368" s="147" t="s">
        <v>530</v>
      </c>
      <c r="D368" s="144" t="s">
        <v>809</v>
      </c>
      <c r="E368" s="149"/>
      <c r="F368" s="146">
        <f>F369</f>
        <v>0</v>
      </c>
    </row>
    <row r="369" spans="1:6" ht="25.5" customHeight="1" hidden="1">
      <c r="A369" s="159" t="s">
        <v>90</v>
      </c>
      <c r="B369" s="162" t="s">
        <v>553</v>
      </c>
      <c r="C369" s="143" t="s">
        <v>530</v>
      </c>
      <c r="D369" s="144" t="s">
        <v>809</v>
      </c>
      <c r="E369" s="157">
        <v>600</v>
      </c>
      <c r="F369" s="142"/>
    </row>
    <row r="370" spans="1:6" ht="12.75">
      <c r="A370" s="323" t="s">
        <v>43</v>
      </c>
      <c r="B370" s="155" t="s">
        <v>102</v>
      </c>
      <c r="C370" s="340" t="s">
        <v>462</v>
      </c>
      <c r="D370" s="341"/>
      <c r="E370" s="342"/>
      <c r="F370" s="161">
        <f>F371</f>
        <v>1084220</v>
      </c>
    </row>
    <row r="371" spans="1:6" ht="12.75">
      <c r="A371" s="159" t="s">
        <v>44</v>
      </c>
      <c r="B371" s="163" t="s">
        <v>102</v>
      </c>
      <c r="C371" s="163" t="s">
        <v>654</v>
      </c>
      <c r="D371" s="148"/>
      <c r="E371" s="149"/>
      <c r="F371" s="146">
        <f>F372</f>
        <v>1084220</v>
      </c>
    </row>
    <row r="372" spans="1:6" ht="25.5">
      <c r="A372" s="150" t="s">
        <v>626</v>
      </c>
      <c r="B372" s="163" t="s">
        <v>102</v>
      </c>
      <c r="C372" s="163" t="s">
        <v>654</v>
      </c>
      <c r="D372" s="148" t="s">
        <v>14</v>
      </c>
      <c r="E372" s="149"/>
      <c r="F372" s="146">
        <f>F373</f>
        <v>1084220</v>
      </c>
    </row>
    <row r="373" spans="1:6" ht="12.75">
      <c r="A373" s="84" t="s">
        <v>636</v>
      </c>
      <c r="B373" s="163" t="s">
        <v>102</v>
      </c>
      <c r="C373" s="163" t="s">
        <v>654</v>
      </c>
      <c r="D373" s="160" t="s">
        <v>16</v>
      </c>
      <c r="E373" s="149"/>
      <c r="F373" s="146">
        <f>F374</f>
        <v>1084220</v>
      </c>
    </row>
    <row r="374" spans="1:6" ht="25.5">
      <c r="A374" s="6" t="s">
        <v>768</v>
      </c>
      <c r="B374" s="163" t="s">
        <v>102</v>
      </c>
      <c r="C374" s="163" t="s">
        <v>654</v>
      </c>
      <c r="D374" s="148" t="s">
        <v>45</v>
      </c>
      <c r="E374" s="149"/>
      <c r="F374" s="146">
        <f>F375</f>
        <v>1084220</v>
      </c>
    </row>
    <row r="375" spans="1:6" ht="25.5">
      <c r="A375" s="145" t="s">
        <v>91</v>
      </c>
      <c r="B375" s="162" t="s">
        <v>102</v>
      </c>
      <c r="C375" s="162" t="s">
        <v>654</v>
      </c>
      <c r="D375" s="144" t="s">
        <v>45</v>
      </c>
      <c r="E375" s="157">
        <v>200</v>
      </c>
      <c r="F375" s="142">
        <v>1084220</v>
      </c>
    </row>
    <row r="376" spans="1:6" ht="12.75">
      <c r="A376" s="156" t="s">
        <v>566</v>
      </c>
      <c r="B376" s="154" t="s">
        <v>554</v>
      </c>
      <c r="C376" s="155" t="s">
        <v>462</v>
      </c>
      <c r="D376" s="154" t="s">
        <v>87</v>
      </c>
      <c r="E376" s="154" t="s">
        <v>87</v>
      </c>
      <c r="F376" s="161">
        <f>F383+F406+F429+F377</f>
        <v>73881009</v>
      </c>
    </row>
    <row r="377" spans="1:6" ht="12.75">
      <c r="A377" s="152" t="s">
        <v>965</v>
      </c>
      <c r="B377" s="151" t="s">
        <v>554</v>
      </c>
      <c r="C377" s="151" t="s">
        <v>530</v>
      </c>
      <c r="D377" s="151"/>
      <c r="E377" s="151"/>
      <c r="F377" s="146">
        <f>F378</f>
        <v>826190</v>
      </c>
    </row>
    <row r="378" spans="1:6" ht="25.5">
      <c r="A378" s="150" t="s">
        <v>751</v>
      </c>
      <c r="B378" s="147" t="s">
        <v>554</v>
      </c>
      <c r="C378" s="147" t="s">
        <v>530</v>
      </c>
      <c r="D378" s="148" t="s">
        <v>223</v>
      </c>
      <c r="E378" s="147"/>
      <c r="F378" s="146">
        <f>F379</f>
        <v>826190</v>
      </c>
    </row>
    <row r="379" spans="1:6" ht="38.25" customHeight="1">
      <c r="A379" s="84" t="s">
        <v>163</v>
      </c>
      <c r="B379" s="147" t="s">
        <v>554</v>
      </c>
      <c r="C379" s="147" t="s">
        <v>530</v>
      </c>
      <c r="D379" s="148" t="s">
        <v>117</v>
      </c>
      <c r="E379" s="147"/>
      <c r="F379" s="146">
        <f>F380</f>
        <v>826190</v>
      </c>
    </row>
    <row r="380" spans="1:6" ht="25.5">
      <c r="A380" s="335" t="s">
        <v>966</v>
      </c>
      <c r="B380" s="147" t="s">
        <v>554</v>
      </c>
      <c r="C380" s="147" t="s">
        <v>530</v>
      </c>
      <c r="D380" s="148" t="s">
        <v>967</v>
      </c>
      <c r="E380" s="147"/>
      <c r="F380" s="146">
        <f>F381</f>
        <v>826190</v>
      </c>
    </row>
    <row r="381" spans="1:6" ht="25.5">
      <c r="A381" s="149" t="s">
        <v>968</v>
      </c>
      <c r="B381" s="147" t="s">
        <v>554</v>
      </c>
      <c r="C381" s="147" t="s">
        <v>530</v>
      </c>
      <c r="D381" s="148" t="s">
        <v>969</v>
      </c>
      <c r="E381" s="147"/>
      <c r="F381" s="146">
        <f>F382</f>
        <v>826190</v>
      </c>
    </row>
    <row r="382" spans="1:6" ht="12.75">
      <c r="A382" s="149" t="s">
        <v>81</v>
      </c>
      <c r="B382" s="147" t="s">
        <v>554</v>
      </c>
      <c r="C382" s="147" t="s">
        <v>530</v>
      </c>
      <c r="D382" s="148" t="s">
        <v>969</v>
      </c>
      <c r="E382" s="147" t="s">
        <v>80</v>
      </c>
      <c r="F382" s="146">
        <v>826190</v>
      </c>
    </row>
    <row r="383" spans="1:6" ht="12.75">
      <c r="A383" s="152" t="s">
        <v>567</v>
      </c>
      <c r="B383" s="151" t="s">
        <v>554</v>
      </c>
      <c r="C383" s="151" t="s">
        <v>101</v>
      </c>
      <c r="D383" s="151" t="s">
        <v>87</v>
      </c>
      <c r="E383" s="151" t="s">
        <v>87</v>
      </c>
      <c r="F383" s="146">
        <f>F384+F401</f>
        <v>7662287</v>
      </c>
    </row>
    <row r="384" spans="1:6" ht="25.5">
      <c r="A384" s="150" t="s">
        <v>162</v>
      </c>
      <c r="B384" s="147" t="s">
        <v>554</v>
      </c>
      <c r="C384" s="147" t="s">
        <v>101</v>
      </c>
      <c r="D384" s="148" t="s">
        <v>223</v>
      </c>
      <c r="E384" s="147" t="s">
        <v>87</v>
      </c>
      <c r="F384" s="146">
        <f>F385</f>
        <v>7638287</v>
      </c>
    </row>
    <row r="385" spans="1:6" ht="42.75" customHeight="1">
      <c r="A385" s="84" t="s">
        <v>163</v>
      </c>
      <c r="B385" s="147" t="s">
        <v>554</v>
      </c>
      <c r="C385" s="147" t="s">
        <v>101</v>
      </c>
      <c r="D385" s="160" t="s">
        <v>117</v>
      </c>
      <c r="E385" s="149" t="s">
        <v>87</v>
      </c>
      <c r="F385" s="146">
        <f>F386+F393+F397</f>
        <v>7638287</v>
      </c>
    </row>
    <row r="386" spans="1:6" ht="25.5">
      <c r="A386" s="335" t="s">
        <v>642</v>
      </c>
      <c r="B386" s="147" t="s">
        <v>554</v>
      </c>
      <c r="C386" s="147" t="s">
        <v>101</v>
      </c>
      <c r="D386" s="160" t="s">
        <v>126</v>
      </c>
      <c r="E386" s="147"/>
      <c r="F386" s="146">
        <f>F387+F390</f>
        <v>7217643</v>
      </c>
    </row>
    <row r="387" spans="1:6" ht="12.75">
      <c r="A387" s="149" t="s">
        <v>589</v>
      </c>
      <c r="B387" s="147" t="s">
        <v>554</v>
      </c>
      <c r="C387" s="147" t="s">
        <v>101</v>
      </c>
      <c r="D387" s="148" t="s">
        <v>643</v>
      </c>
      <c r="E387" s="147" t="s">
        <v>87</v>
      </c>
      <c r="F387" s="146">
        <f>SUM(F388:F389)</f>
        <v>6840366</v>
      </c>
    </row>
    <row r="388" spans="1:6" ht="25.5">
      <c r="A388" s="159" t="s">
        <v>228</v>
      </c>
      <c r="B388" s="147" t="s">
        <v>554</v>
      </c>
      <c r="C388" s="147" t="s">
        <v>101</v>
      </c>
      <c r="D388" s="148" t="s">
        <v>643</v>
      </c>
      <c r="E388" s="147">
        <v>200</v>
      </c>
      <c r="F388" s="158">
        <f>50000+21000</f>
        <v>71000</v>
      </c>
    </row>
    <row r="389" spans="1:6" ht="12.75">
      <c r="A389" s="159" t="s">
        <v>81</v>
      </c>
      <c r="B389" s="147" t="s">
        <v>554</v>
      </c>
      <c r="C389" s="147" t="s">
        <v>101</v>
      </c>
      <c r="D389" s="148" t="s">
        <v>643</v>
      </c>
      <c r="E389" s="147">
        <v>300</v>
      </c>
      <c r="F389" s="158">
        <f>7021141-251775</f>
        <v>6769366</v>
      </c>
    </row>
    <row r="390" spans="1:6" ht="12.75">
      <c r="A390" s="149" t="s">
        <v>590</v>
      </c>
      <c r="B390" s="147" t="s">
        <v>554</v>
      </c>
      <c r="C390" s="147" t="s">
        <v>101</v>
      </c>
      <c r="D390" s="148" t="s">
        <v>644</v>
      </c>
      <c r="E390" s="147" t="s">
        <v>87</v>
      </c>
      <c r="F390" s="146">
        <f>SUM(F391:F392)</f>
        <v>377277</v>
      </c>
    </row>
    <row r="391" spans="1:6" ht="25.5">
      <c r="A391" s="159" t="s">
        <v>228</v>
      </c>
      <c r="B391" s="147" t="s">
        <v>554</v>
      </c>
      <c r="C391" s="147" t="s">
        <v>101</v>
      </c>
      <c r="D391" s="148" t="s">
        <v>644</v>
      </c>
      <c r="E391" s="147">
        <v>200</v>
      </c>
      <c r="F391" s="158">
        <v>9500</v>
      </c>
    </row>
    <row r="392" spans="1:6" ht="12.75">
      <c r="A392" s="159" t="s">
        <v>81</v>
      </c>
      <c r="B392" s="147" t="s">
        <v>554</v>
      </c>
      <c r="C392" s="147" t="s">
        <v>101</v>
      </c>
      <c r="D392" s="148" t="s">
        <v>644</v>
      </c>
      <c r="E392" s="147" t="s">
        <v>80</v>
      </c>
      <c r="F392" s="158">
        <f>517777-150000</f>
        <v>367777</v>
      </c>
    </row>
    <row r="393" spans="1:6" ht="25.5">
      <c r="A393" s="7" t="s">
        <v>123</v>
      </c>
      <c r="B393" s="151" t="s">
        <v>554</v>
      </c>
      <c r="C393" s="151" t="s">
        <v>101</v>
      </c>
      <c r="D393" s="160" t="s">
        <v>127</v>
      </c>
      <c r="E393" s="151"/>
      <c r="F393" s="146">
        <f>F394</f>
        <v>134715</v>
      </c>
    </row>
    <row r="394" spans="1:6" ht="25.5">
      <c r="A394" s="149" t="s">
        <v>262</v>
      </c>
      <c r="B394" s="147" t="s">
        <v>554</v>
      </c>
      <c r="C394" s="147" t="s">
        <v>101</v>
      </c>
      <c r="D394" s="148" t="s">
        <v>128</v>
      </c>
      <c r="E394" s="147" t="s">
        <v>87</v>
      </c>
      <c r="F394" s="146">
        <f>SUM(F395:F396)</f>
        <v>134715</v>
      </c>
    </row>
    <row r="395" spans="1:6" ht="25.5">
      <c r="A395" s="159" t="s">
        <v>228</v>
      </c>
      <c r="B395" s="147" t="s">
        <v>554</v>
      </c>
      <c r="C395" s="147" t="s">
        <v>101</v>
      </c>
      <c r="D395" s="148" t="s">
        <v>128</v>
      </c>
      <c r="E395" s="147">
        <v>200</v>
      </c>
      <c r="F395" s="146">
        <f>1400+500</f>
        <v>1900</v>
      </c>
    </row>
    <row r="396" spans="1:6" ht="12.75">
      <c r="A396" s="159" t="s">
        <v>81</v>
      </c>
      <c r="B396" s="147" t="s">
        <v>554</v>
      </c>
      <c r="C396" s="147" t="s">
        <v>101</v>
      </c>
      <c r="D396" s="148" t="s">
        <v>128</v>
      </c>
      <c r="E396" s="147" t="s">
        <v>80</v>
      </c>
      <c r="F396" s="158">
        <v>132815</v>
      </c>
    </row>
    <row r="397" spans="1:6" ht="38.25">
      <c r="A397" s="10" t="s">
        <v>645</v>
      </c>
      <c r="B397" s="151" t="s">
        <v>554</v>
      </c>
      <c r="C397" s="151" t="s">
        <v>101</v>
      </c>
      <c r="D397" s="160" t="s">
        <v>129</v>
      </c>
      <c r="E397" s="151"/>
      <c r="F397" s="146">
        <f>F398</f>
        <v>285929</v>
      </c>
    </row>
    <row r="398" spans="1:6" ht="25.5">
      <c r="A398" s="149" t="s">
        <v>492</v>
      </c>
      <c r="B398" s="147" t="s">
        <v>554</v>
      </c>
      <c r="C398" s="147" t="s">
        <v>101</v>
      </c>
      <c r="D398" s="148" t="s">
        <v>130</v>
      </c>
      <c r="E398" s="147" t="s">
        <v>87</v>
      </c>
      <c r="F398" s="146">
        <f>SUM(F399:F400)</f>
        <v>285929</v>
      </c>
    </row>
    <row r="399" spans="1:6" ht="25.5">
      <c r="A399" s="159" t="s">
        <v>228</v>
      </c>
      <c r="B399" s="147" t="s">
        <v>554</v>
      </c>
      <c r="C399" s="147" t="s">
        <v>101</v>
      </c>
      <c r="D399" s="148" t="s">
        <v>130</v>
      </c>
      <c r="E399" s="147">
        <v>200</v>
      </c>
      <c r="F399" s="158">
        <f>1000+1000</f>
        <v>2000</v>
      </c>
    </row>
    <row r="400" spans="1:6" ht="12.75">
      <c r="A400" s="159" t="s">
        <v>81</v>
      </c>
      <c r="B400" s="147" t="s">
        <v>554</v>
      </c>
      <c r="C400" s="147" t="s">
        <v>101</v>
      </c>
      <c r="D400" s="148" t="s">
        <v>130</v>
      </c>
      <c r="E400" s="147">
        <v>300</v>
      </c>
      <c r="F400" s="158">
        <v>283929</v>
      </c>
    </row>
    <row r="401" spans="1:6" ht="38.25">
      <c r="A401" s="150" t="s">
        <v>279</v>
      </c>
      <c r="B401" s="147">
        <v>10</v>
      </c>
      <c r="C401" s="147" t="s">
        <v>101</v>
      </c>
      <c r="D401" s="148" t="s">
        <v>557</v>
      </c>
      <c r="E401" s="147"/>
      <c r="F401" s="146">
        <f>F402</f>
        <v>24000</v>
      </c>
    </row>
    <row r="402" spans="1:6" ht="38.25">
      <c r="A402" s="84" t="s">
        <v>278</v>
      </c>
      <c r="B402" s="147">
        <v>10</v>
      </c>
      <c r="C402" s="147" t="s">
        <v>101</v>
      </c>
      <c r="D402" s="160" t="s">
        <v>558</v>
      </c>
      <c r="E402" s="147"/>
      <c r="F402" s="146">
        <f>F403</f>
        <v>24000</v>
      </c>
    </row>
    <row r="403" spans="1:6" ht="25.5">
      <c r="A403" s="7" t="s">
        <v>459</v>
      </c>
      <c r="B403" s="147">
        <v>10</v>
      </c>
      <c r="C403" s="147" t="s">
        <v>101</v>
      </c>
      <c r="D403" s="160" t="s">
        <v>304</v>
      </c>
      <c r="E403" s="147"/>
      <c r="F403" s="146">
        <f>F404</f>
        <v>24000</v>
      </c>
    </row>
    <row r="404" spans="1:6" ht="12.75">
      <c r="A404" s="336" t="s">
        <v>274</v>
      </c>
      <c r="B404" s="147">
        <v>10</v>
      </c>
      <c r="C404" s="147" t="s">
        <v>101</v>
      </c>
      <c r="D404" s="148" t="s">
        <v>273</v>
      </c>
      <c r="E404" s="147"/>
      <c r="F404" s="146">
        <f>F405</f>
        <v>24000</v>
      </c>
    </row>
    <row r="405" spans="1:6" ht="12.75">
      <c r="A405" s="159" t="s">
        <v>81</v>
      </c>
      <c r="B405" s="147">
        <v>10</v>
      </c>
      <c r="C405" s="147" t="s">
        <v>101</v>
      </c>
      <c r="D405" s="148" t="s">
        <v>273</v>
      </c>
      <c r="E405" s="147">
        <v>300</v>
      </c>
      <c r="F405" s="158">
        <f>20000+4000</f>
        <v>24000</v>
      </c>
    </row>
    <row r="406" spans="1:6" ht="12.75">
      <c r="A406" s="152" t="s">
        <v>568</v>
      </c>
      <c r="B406" s="151" t="s">
        <v>554</v>
      </c>
      <c r="C406" s="151" t="s">
        <v>533</v>
      </c>
      <c r="D406" s="151" t="s">
        <v>87</v>
      </c>
      <c r="E406" s="151" t="s">
        <v>87</v>
      </c>
      <c r="F406" s="146">
        <f>F407+F423</f>
        <v>60616032</v>
      </c>
    </row>
    <row r="407" spans="1:6" ht="25.5">
      <c r="A407" s="150" t="s">
        <v>162</v>
      </c>
      <c r="B407" s="147" t="s">
        <v>554</v>
      </c>
      <c r="C407" s="147" t="s">
        <v>533</v>
      </c>
      <c r="D407" s="148" t="s">
        <v>223</v>
      </c>
      <c r="E407" s="147"/>
      <c r="F407" s="146">
        <f>F408</f>
        <v>55499934</v>
      </c>
    </row>
    <row r="408" spans="1:6" ht="51">
      <c r="A408" s="84" t="s">
        <v>240</v>
      </c>
      <c r="B408" s="147" t="s">
        <v>554</v>
      </c>
      <c r="C408" s="147" t="s">
        <v>533</v>
      </c>
      <c r="D408" s="160" t="s">
        <v>7</v>
      </c>
      <c r="E408" s="149" t="s">
        <v>87</v>
      </c>
      <c r="F408" s="146">
        <f>F409+F416+F419</f>
        <v>55499934</v>
      </c>
    </row>
    <row r="409" spans="1:6" ht="38.25">
      <c r="A409" s="335" t="s">
        <v>757</v>
      </c>
      <c r="B409" s="147" t="s">
        <v>554</v>
      </c>
      <c r="C409" s="147" t="s">
        <v>533</v>
      </c>
      <c r="D409" s="147" t="s">
        <v>124</v>
      </c>
      <c r="E409" s="147"/>
      <c r="F409" s="146">
        <f>F410+F412+F414</f>
        <v>43630977</v>
      </c>
    </row>
    <row r="410" spans="1:6" ht="12.75">
      <c r="A410" s="7" t="s">
        <v>555</v>
      </c>
      <c r="B410" s="147" t="s">
        <v>554</v>
      </c>
      <c r="C410" s="147" t="s">
        <v>533</v>
      </c>
      <c r="D410" s="148" t="s">
        <v>758</v>
      </c>
      <c r="E410" s="147"/>
      <c r="F410" s="146">
        <f>F411</f>
        <v>1839382</v>
      </c>
    </row>
    <row r="411" spans="1:6" ht="12.75">
      <c r="A411" s="159" t="s">
        <v>81</v>
      </c>
      <c r="B411" s="147" t="s">
        <v>554</v>
      </c>
      <c r="C411" s="147" t="s">
        <v>533</v>
      </c>
      <c r="D411" s="148" t="s">
        <v>758</v>
      </c>
      <c r="E411" s="147">
        <v>300</v>
      </c>
      <c r="F411" s="158">
        <v>1839382</v>
      </c>
    </row>
    <row r="412" spans="1:6" ht="25.5">
      <c r="A412" s="311" t="s">
        <v>510</v>
      </c>
      <c r="B412" s="147" t="s">
        <v>554</v>
      </c>
      <c r="C412" s="147" t="s">
        <v>533</v>
      </c>
      <c r="D412" s="148" t="s">
        <v>511</v>
      </c>
      <c r="E412" s="147"/>
      <c r="F412" s="158">
        <f>F413</f>
        <v>41186977</v>
      </c>
    </row>
    <row r="413" spans="1:6" ht="12.75">
      <c r="A413" s="159" t="s">
        <v>81</v>
      </c>
      <c r="B413" s="147" t="s">
        <v>554</v>
      </c>
      <c r="C413" s="147" t="s">
        <v>533</v>
      </c>
      <c r="D413" s="148" t="s">
        <v>511</v>
      </c>
      <c r="E413" s="147">
        <v>300</v>
      </c>
      <c r="F413" s="158">
        <v>41186977</v>
      </c>
    </row>
    <row r="414" spans="1:6" ht="25.5">
      <c r="A414" s="311" t="s">
        <v>512</v>
      </c>
      <c r="B414" s="147" t="s">
        <v>554</v>
      </c>
      <c r="C414" s="147" t="s">
        <v>533</v>
      </c>
      <c r="D414" s="148" t="s">
        <v>513</v>
      </c>
      <c r="E414" s="147"/>
      <c r="F414" s="158">
        <f>F415</f>
        <v>604618</v>
      </c>
    </row>
    <row r="415" spans="1:6" ht="25.5">
      <c r="A415" s="159" t="s">
        <v>228</v>
      </c>
      <c r="B415" s="147" t="s">
        <v>554</v>
      </c>
      <c r="C415" s="147" t="s">
        <v>533</v>
      </c>
      <c r="D415" s="148" t="s">
        <v>513</v>
      </c>
      <c r="E415" s="147">
        <v>200</v>
      </c>
      <c r="F415" s="158">
        <v>604618</v>
      </c>
    </row>
    <row r="416" spans="1:6" ht="38.25">
      <c r="A416" s="335" t="s">
        <v>125</v>
      </c>
      <c r="B416" s="147" t="s">
        <v>554</v>
      </c>
      <c r="C416" s="147" t="s">
        <v>533</v>
      </c>
      <c r="D416" s="160" t="s">
        <v>759</v>
      </c>
      <c r="E416" s="149"/>
      <c r="F416" s="146">
        <f>F417</f>
        <v>6071609</v>
      </c>
    </row>
    <row r="417" spans="1:6" ht="29.25" customHeight="1">
      <c r="A417" s="306" t="s">
        <v>591</v>
      </c>
      <c r="B417" s="147" t="s">
        <v>554</v>
      </c>
      <c r="C417" s="147" t="s">
        <v>533</v>
      </c>
      <c r="D417" s="148" t="s">
        <v>760</v>
      </c>
      <c r="E417" s="147" t="s">
        <v>87</v>
      </c>
      <c r="F417" s="146">
        <f>SUM(F418:F418)</f>
        <v>6071609</v>
      </c>
    </row>
    <row r="418" spans="1:6" ht="12.75">
      <c r="A418" s="159" t="s">
        <v>81</v>
      </c>
      <c r="B418" s="147" t="s">
        <v>554</v>
      </c>
      <c r="C418" s="147" t="s">
        <v>533</v>
      </c>
      <c r="D418" s="148" t="s">
        <v>760</v>
      </c>
      <c r="E418" s="147">
        <v>300</v>
      </c>
      <c r="F418" s="158">
        <v>6071609</v>
      </c>
    </row>
    <row r="419" spans="1:6" ht="25.5">
      <c r="A419" s="390" t="s">
        <v>933</v>
      </c>
      <c r="B419" s="195" t="s">
        <v>554</v>
      </c>
      <c r="C419" s="195" t="s">
        <v>533</v>
      </c>
      <c r="D419" s="148" t="s">
        <v>916</v>
      </c>
      <c r="E419" s="147"/>
      <c r="F419" s="158">
        <f>F420</f>
        <v>5797348</v>
      </c>
    </row>
    <row r="420" spans="1:6" ht="42" customHeight="1">
      <c r="A420" s="390" t="s">
        <v>909</v>
      </c>
      <c r="B420" s="195" t="s">
        <v>554</v>
      </c>
      <c r="C420" s="195" t="s">
        <v>533</v>
      </c>
      <c r="D420" s="148" t="s">
        <v>917</v>
      </c>
      <c r="E420" s="147"/>
      <c r="F420" s="158">
        <f>F422+F421</f>
        <v>5797348</v>
      </c>
    </row>
    <row r="421" spans="1:6" ht="25.5">
      <c r="A421" s="159" t="s">
        <v>228</v>
      </c>
      <c r="B421" s="195" t="s">
        <v>554</v>
      </c>
      <c r="C421" s="195" t="s">
        <v>533</v>
      </c>
      <c r="D421" s="148" t="s">
        <v>917</v>
      </c>
      <c r="E421" s="147">
        <v>200</v>
      </c>
      <c r="F421" s="158">
        <f>69421+25736</f>
        <v>95157</v>
      </c>
    </row>
    <row r="422" spans="1:6" ht="25.5">
      <c r="A422" s="390" t="s">
        <v>221</v>
      </c>
      <c r="B422" s="195" t="s">
        <v>554</v>
      </c>
      <c r="C422" s="195" t="s">
        <v>533</v>
      </c>
      <c r="D422" s="148" t="s">
        <v>917</v>
      </c>
      <c r="E422" s="147">
        <v>400</v>
      </c>
      <c r="F422" s="158">
        <f>4158671+1543520</f>
        <v>5702191</v>
      </c>
    </row>
    <row r="423" spans="1:6" ht="38.25">
      <c r="A423" s="150" t="s">
        <v>277</v>
      </c>
      <c r="B423" s="147">
        <v>10</v>
      </c>
      <c r="C423" s="147" t="s">
        <v>533</v>
      </c>
      <c r="D423" s="148" t="s">
        <v>557</v>
      </c>
      <c r="E423" s="147"/>
      <c r="F423" s="146">
        <f>F424</f>
        <v>5116098</v>
      </c>
    </row>
    <row r="424" spans="1:6" ht="38.25">
      <c r="A424" s="84" t="s">
        <v>278</v>
      </c>
      <c r="B424" s="147">
        <v>10</v>
      </c>
      <c r="C424" s="147" t="s">
        <v>533</v>
      </c>
      <c r="D424" s="160" t="s">
        <v>558</v>
      </c>
      <c r="E424" s="147"/>
      <c r="F424" s="146">
        <f>F425</f>
        <v>5116098</v>
      </c>
    </row>
    <row r="425" spans="1:6" ht="25.5">
      <c r="A425" s="335" t="s">
        <v>457</v>
      </c>
      <c r="B425" s="147">
        <v>10</v>
      </c>
      <c r="C425" s="147" t="s">
        <v>533</v>
      </c>
      <c r="D425" s="160" t="s">
        <v>131</v>
      </c>
      <c r="E425" s="147"/>
      <c r="F425" s="146">
        <f>F426</f>
        <v>5116098</v>
      </c>
    </row>
    <row r="426" spans="1:6" ht="12.75">
      <c r="A426" s="159" t="s">
        <v>323</v>
      </c>
      <c r="B426" s="147">
        <v>10</v>
      </c>
      <c r="C426" s="147" t="s">
        <v>533</v>
      </c>
      <c r="D426" s="148" t="s">
        <v>243</v>
      </c>
      <c r="E426" s="147"/>
      <c r="F426" s="146">
        <f>SUM(F427:F428)</f>
        <v>5116098</v>
      </c>
    </row>
    <row r="427" spans="1:6" ht="25.5">
      <c r="A427" s="159" t="s">
        <v>228</v>
      </c>
      <c r="B427" s="147">
        <v>10</v>
      </c>
      <c r="C427" s="147" t="s">
        <v>533</v>
      </c>
      <c r="D427" s="148" t="s">
        <v>243</v>
      </c>
      <c r="E427" s="147">
        <v>200</v>
      </c>
      <c r="F427" s="158">
        <v>20382</v>
      </c>
    </row>
    <row r="428" spans="1:6" ht="12.75">
      <c r="A428" s="159" t="s">
        <v>81</v>
      </c>
      <c r="B428" s="147">
        <v>10</v>
      </c>
      <c r="C428" s="147" t="s">
        <v>533</v>
      </c>
      <c r="D428" s="148" t="s">
        <v>243</v>
      </c>
      <c r="E428" s="147">
        <v>300</v>
      </c>
      <c r="F428" s="158">
        <v>5095716</v>
      </c>
    </row>
    <row r="429" spans="1:6" ht="12.75">
      <c r="A429" s="152" t="s">
        <v>573</v>
      </c>
      <c r="B429" s="151" t="s">
        <v>554</v>
      </c>
      <c r="C429" s="151" t="s">
        <v>534</v>
      </c>
      <c r="D429" s="151" t="s">
        <v>87</v>
      </c>
      <c r="E429" s="151" t="s">
        <v>87</v>
      </c>
      <c r="F429" s="146">
        <f>F430+F447</f>
        <v>4776500</v>
      </c>
    </row>
    <row r="430" spans="1:6" ht="25.5">
      <c r="A430" s="150" t="s">
        <v>162</v>
      </c>
      <c r="B430" s="147" t="s">
        <v>554</v>
      </c>
      <c r="C430" s="147" t="s">
        <v>534</v>
      </c>
      <c r="D430" s="148" t="s">
        <v>223</v>
      </c>
      <c r="E430" s="147" t="s">
        <v>87</v>
      </c>
      <c r="F430" s="146">
        <f>F431+F441</f>
        <v>4441800</v>
      </c>
    </row>
    <row r="431" spans="1:6" ht="39" customHeight="1">
      <c r="A431" s="307" t="s">
        <v>380</v>
      </c>
      <c r="B431" s="147" t="s">
        <v>554</v>
      </c>
      <c r="C431" s="147" t="s">
        <v>534</v>
      </c>
      <c r="D431" s="160" t="s">
        <v>6</v>
      </c>
      <c r="E431" s="149" t="s">
        <v>87</v>
      </c>
      <c r="F431" s="146">
        <f>F432+F437</f>
        <v>3437700</v>
      </c>
    </row>
    <row r="432" spans="1:6" ht="40.5" customHeight="1">
      <c r="A432" s="335" t="s">
        <v>761</v>
      </c>
      <c r="B432" s="147" t="s">
        <v>554</v>
      </c>
      <c r="C432" s="147" t="s">
        <v>534</v>
      </c>
      <c r="D432" s="160" t="s">
        <v>762</v>
      </c>
      <c r="E432" s="149"/>
      <c r="F432" s="146">
        <f>F433</f>
        <v>2342900</v>
      </c>
    </row>
    <row r="433" spans="1:6" ht="25.5">
      <c r="A433" s="149" t="s">
        <v>390</v>
      </c>
      <c r="B433" s="147" t="s">
        <v>554</v>
      </c>
      <c r="C433" s="147" t="s">
        <v>534</v>
      </c>
      <c r="D433" s="148" t="s">
        <v>763</v>
      </c>
      <c r="E433" s="147" t="s">
        <v>87</v>
      </c>
      <c r="F433" s="146">
        <f>SUM(F434:F436)</f>
        <v>2342900</v>
      </c>
    </row>
    <row r="434" spans="1:6" ht="51">
      <c r="A434" s="159" t="s">
        <v>735</v>
      </c>
      <c r="B434" s="147" t="s">
        <v>554</v>
      </c>
      <c r="C434" s="147" t="s">
        <v>534</v>
      </c>
      <c r="D434" s="148" t="s">
        <v>763</v>
      </c>
      <c r="E434" s="147">
        <v>100</v>
      </c>
      <c r="F434" s="158">
        <v>2232400</v>
      </c>
    </row>
    <row r="435" spans="1:6" ht="25.5">
      <c r="A435" s="159" t="s">
        <v>228</v>
      </c>
      <c r="B435" s="147" t="s">
        <v>554</v>
      </c>
      <c r="C435" s="147" t="s">
        <v>534</v>
      </c>
      <c r="D435" s="148" t="s">
        <v>763</v>
      </c>
      <c r="E435" s="149">
        <v>200</v>
      </c>
      <c r="F435" s="158">
        <f>110000+500</f>
        <v>110500</v>
      </c>
    </row>
    <row r="436" spans="1:6" ht="12.75" hidden="1">
      <c r="A436" s="159" t="s">
        <v>77</v>
      </c>
      <c r="B436" s="147" t="s">
        <v>554</v>
      </c>
      <c r="C436" s="147" t="s">
        <v>534</v>
      </c>
      <c r="D436" s="148" t="s">
        <v>763</v>
      </c>
      <c r="E436" s="149">
        <v>800</v>
      </c>
      <c r="F436" s="158">
        <f>500-500</f>
        <v>0</v>
      </c>
    </row>
    <row r="437" spans="1:6" ht="51">
      <c r="A437" s="159" t="s">
        <v>710</v>
      </c>
      <c r="B437" s="147" t="s">
        <v>554</v>
      </c>
      <c r="C437" s="147" t="s">
        <v>534</v>
      </c>
      <c r="D437" s="148" t="s">
        <v>333</v>
      </c>
      <c r="E437" s="149"/>
      <c r="F437" s="158">
        <f>F438+F439+F440</f>
        <v>1094800</v>
      </c>
    </row>
    <row r="438" spans="1:6" ht="51">
      <c r="A438" s="159" t="s">
        <v>735</v>
      </c>
      <c r="B438" s="147" t="s">
        <v>554</v>
      </c>
      <c r="C438" s="147" t="s">
        <v>534</v>
      </c>
      <c r="D438" s="148" t="s">
        <v>333</v>
      </c>
      <c r="E438" s="149">
        <v>100</v>
      </c>
      <c r="F438" s="158">
        <f>982100-147315.02</f>
        <v>834784.98</v>
      </c>
    </row>
    <row r="439" spans="1:6" ht="25.5">
      <c r="A439" s="159" t="s">
        <v>228</v>
      </c>
      <c r="B439" s="147" t="s">
        <v>554</v>
      </c>
      <c r="C439" s="147" t="s">
        <v>534</v>
      </c>
      <c r="D439" s="148" t="s">
        <v>333</v>
      </c>
      <c r="E439" s="149">
        <v>200</v>
      </c>
      <c r="F439" s="158">
        <f>112200+500+147315.02</f>
        <v>260015.02</v>
      </c>
    </row>
    <row r="440" spans="1:6" ht="12.75" hidden="1">
      <c r="A440" s="145" t="s">
        <v>77</v>
      </c>
      <c r="B440" s="143" t="s">
        <v>554</v>
      </c>
      <c r="C440" s="143" t="s">
        <v>534</v>
      </c>
      <c r="D440" s="144" t="s">
        <v>333</v>
      </c>
      <c r="E440" s="157">
        <v>800</v>
      </c>
      <c r="F440" s="142">
        <f>500-500</f>
        <v>0</v>
      </c>
    </row>
    <row r="441" spans="1:6" ht="51">
      <c r="A441" s="307" t="s">
        <v>172</v>
      </c>
      <c r="B441" s="147" t="s">
        <v>554</v>
      </c>
      <c r="C441" s="147" t="s">
        <v>534</v>
      </c>
      <c r="D441" s="160" t="s">
        <v>7</v>
      </c>
      <c r="E441" s="149" t="s">
        <v>87</v>
      </c>
      <c r="F441" s="146">
        <f>F442</f>
        <v>1004100</v>
      </c>
    </row>
    <row r="442" spans="1:6" ht="38.25">
      <c r="A442" s="335" t="s">
        <v>588</v>
      </c>
      <c r="B442" s="147" t="s">
        <v>554</v>
      </c>
      <c r="C442" s="147" t="s">
        <v>534</v>
      </c>
      <c r="D442" s="160" t="s">
        <v>595</v>
      </c>
      <c r="E442" s="149"/>
      <c r="F442" s="146">
        <f>F443</f>
        <v>1004100</v>
      </c>
    </row>
    <row r="443" spans="1:6" ht="38.25">
      <c r="A443" s="159" t="s">
        <v>282</v>
      </c>
      <c r="B443" s="147" t="s">
        <v>554</v>
      </c>
      <c r="C443" s="147" t="s">
        <v>534</v>
      </c>
      <c r="D443" s="148" t="s">
        <v>452</v>
      </c>
      <c r="E443" s="149"/>
      <c r="F443" s="158">
        <f>SUM(F444:F446)</f>
        <v>1004100</v>
      </c>
    </row>
    <row r="444" spans="1:6" ht="51">
      <c r="A444" s="159" t="s">
        <v>735</v>
      </c>
      <c r="B444" s="147" t="s">
        <v>554</v>
      </c>
      <c r="C444" s="147" t="s">
        <v>534</v>
      </c>
      <c r="D444" s="148" t="s">
        <v>452</v>
      </c>
      <c r="E444" s="149">
        <v>100</v>
      </c>
      <c r="F444" s="158">
        <f>967900-9000-17758.9</f>
        <v>941141.1</v>
      </c>
    </row>
    <row r="445" spans="1:6" ht="25.5">
      <c r="A445" s="159" t="s">
        <v>228</v>
      </c>
      <c r="B445" s="147" t="s">
        <v>554</v>
      </c>
      <c r="C445" s="147" t="s">
        <v>534</v>
      </c>
      <c r="D445" s="148" t="s">
        <v>452</v>
      </c>
      <c r="E445" s="487" t="s">
        <v>74</v>
      </c>
      <c r="F445" s="158">
        <f>35800+9000+17758.9</f>
        <v>62558.9</v>
      </c>
    </row>
    <row r="446" spans="1:6" ht="12.75">
      <c r="A446" s="145" t="s">
        <v>77</v>
      </c>
      <c r="B446" s="147" t="s">
        <v>554</v>
      </c>
      <c r="C446" s="147" t="s">
        <v>534</v>
      </c>
      <c r="D446" s="148" t="s">
        <v>452</v>
      </c>
      <c r="E446" s="149">
        <v>800</v>
      </c>
      <c r="F446" s="158">
        <v>400</v>
      </c>
    </row>
    <row r="447" spans="1:6" ht="51">
      <c r="A447" s="150" t="s">
        <v>296</v>
      </c>
      <c r="B447" s="143" t="s">
        <v>554</v>
      </c>
      <c r="C447" s="143" t="s">
        <v>534</v>
      </c>
      <c r="D447" s="147" t="s">
        <v>12</v>
      </c>
      <c r="E447" s="147"/>
      <c r="F447" s="158">
        <f>F448</f>
        <v>334700</v>
      </c>
    </row>
    <row r="448" spans="1:6" ht="63.75">
      <c r="A448" s="307" t="s">
        <v>297</v>
      </c>
      <c r="B448" s="147" t="s">
        <v>554</v>
      </c>
      <c r="C448" s="147" t="s">
        <v>534</v>
      </c>
      <c r="D448" s="160" t="s">
        <v>13</v>
      </c>
      <c r="E448" s="149"/>
      <c r="F448" s="146">
        <f>F449</f>
        <v>334700</v>
      </c>
    </row>
    <row r="449" spans="1:6" ht="25.5">
      <c r="A449" s="335" t="s">
        <v>286</v>
      </c>
      <c r="B449" s="147" t="s">
        <v>554</v>
      </c>
      <c r="C449" s="147" t="s">
        <v>534</v>
      </c>
      <c r="D449" s="160" t="s">
        <v>275</v>
      </c>
      <c r="E449" s="149"/>
      <c r="F449" s="146">
        <f>F450</f>
        <v>334700</v>
      </c>
    </row>
    <row r="450" spans="1:6" ht="38.25">
      <c r="A450" s="159" t="s">
        <v>109</v>
      </c>
      <c r="B450" s="147" t="s">
        <v>554</v>
      </c>
      <c r="C450" s="147" t="s">
        <v>534</v>
      </c>
      <c r="D450" s="148" t="s">
        <v>287</v>
      </c>
      <c r="E450" s="149"/>
      <c r="F450" s="158">
        <f>SUM(F451:F451)</f>
        <v>334700</v>
      </c>
    </row>
    <row r="451" spans="1:6" ht="51">
      <c r="A451" s="159" t="s">
        <v>735</v>
      </c>
      <c r="B451" s="147" t="s">
        <v>554</v>
      </c>
      <c r="C451" s="147" t="s">
        <v>534</v>
      </c>
      <c r="D451" s="148" t="s">
        <v>287</v>
      </c>
      <c r="E451" s="149">
        <v>100</v>
      </c>
      <c r="F451" s="158">
        <v>334700</v>
      </c>
    </row>
    <row r="452" spans="1:6" ht="12.75">
      <c r="A452" s="156" t="s">
        <v>242</v>
      </c>
      <c r="B452" s="154" t="s">
        <v>536</v>
      </c>
      <c r="C452" s="155" t="s">
        <v>462</v>
      </c>
      <c r="D452" s="154" t="s">
        <v>87</v>
      </c>
      <c r="E452" s="154" t="s">
        <v>87</v>
      </c>
      <c r="F452" s="153">
        <f aca="true" t="shared" si="0" ref="F452:F457">F453</f>
        <v>100000</v>
      </c>
    </row>
    <row r="453" spans="1:6" ht="12.75">
      <c r="A453" s="152" t="s">
        <v>439</v>
      </c>
      <c r="B453" s="151" t="s">
        <v>536</v>
      </c>
      <c r="C453" s="151" t="s">
        <v>532</v>
      </c>
      <c r="D453" s="151" t="s">
        <v>87</v>
      </c>
      <c r="E453" s="151" t="s">
        <v>87</v>
      </c>
      <c r="F453" s="146">
        <f t="shared" si="0"/>
        <v>100000</v>
      </c>
    </row>
    <row r="454" spans="1:6" ht="38.25">
      <c r="A454" s="150" t="s">
        <v>438</v>
      </c>
      <c r="B454" s="147" t="s">
        <v>536</v>
      </c>
      <c r="C454" s="147" t="s">
        <v>532</v>
      </c>
      <c r="D454" s="148" t="s">
        <v>437</v>
      </c>
      <c r="E454" s="147" t="s">
        <v>87</v>
      </c>
      <c r="F454" s="146">
        <f t="shared" si="0"/>
        <v>100000</v>
      </c>
    </row>
    <row r="455" spans="1:6" ht="63.75">
      <c r="A455" s="84" t="s">
        <v>436</v>
      </c>
      <c r="B455" s="147" t="s">
        <v>536</v>
      </c>
      <c r="C455" s="147" t="s">
        <v>532</v>
      </c>
      <c r="D455" s="148" t="s">
        <v>248</v>
      </c>
      <c r="E455" s="149" t="s">
        <v>87</v>
      </c>
      <c r="F455" s="146">
        <f t="shared" si="0"/>
        <v>100000</v>
      </c>
    </row>
    <row r="456" spans="1:6" ht="51">
      <c r="A456" s="7" t="s">
        <v>247</v>
      </c>
      <c r="B456" s="147" t="s">
        <v>536</v>
      </c>
      <c r="C456" s="147" t="s">
        <v>532</v>
      </c>
      <c r="D456" s="148" t="s">
        <v>246</v>
      </c>
      <c r="E456" s="149"/>
      <c r="F456" s="146">
        <f t="shared" si="0"/>
        <v>100000</v>
      </c>
    </row>
    <row r="457" spans="1:6" ht="51">
      <c r="A457" s="7" t="s">
        <v>245</v>
      </c>
      <c r="B457" s="147" t="s">
        <v>536</v>
      </c>
      <c r="C457" s="147" t="s">
        <v>532</v>
      </c>
      <c r="D457" s="148" t="s">
        <v>244</v>
      </c>
      <c r="E457" s="149"/>
      <c r="F457" s="146">
        <f t="shared" si="0"/>
        <v>100000</v>
      </c>
    </row>
    <row r="458" spans="1:6" ht="25.5">
      <c r="A458" s="145" t="s">
        <v>228</v>
      </c>
      <c r="B458" s="143" t="s">
        <v>536</v>
      </c>
      <c r="C458" s="143" t="s">
        <v>532</v>
      </c>
      <c r="D458" s="144" t="s">
        <v>244</v>
      </c>
      <c r="E458" s="157">
        <v>200</v>
      </c>
      <c r="F458" s="142">
        <v>100000</v>
      </c>
    </row>
    <row r="459" spans="1:6" ht="12.75">
      <c r="A459" s="156" t="s">
        <v>75</v>
      </c>
      <c r="B459" s="154" t="s">
        <v>100</v>
      </c>
      <c r="C459" s="155" t="s">
        <v>462</v>
      </c>
      <c r="D459" s="154" t="s">
        <v>87</v>
      </c>
      <c r="E459" s="154" t="s">
        <v>87</v>
      </c>
      <c r="F459" s="153">
        <f aca="true" t="shared" si="1" ref="F459:F464">F460</f>
        <v>33000</v>
      </c>
    </row>
    <row r="460" spans="1:6" ht="25.5">
      <c r="A460" s="152" t="s">
        <v>76</v>
      </c>
      <c r="B460" s="151" t="s">
        <v>100</v>
      </c>
      <c r="C460" s="151" t="s">
        <v>530</v>
      </c>
      <c r="D460" s="151" t="s">
        <v>87</v>
      </c>
      <c r="E460" s="151" t="s">
        <v>87</v>
      </c>
      <c r="F460" s="146">
        <f t="shared" si="1"/>
        <v>33000</v>
      </c>
    </row>
    <row r="461" spans="1:6" ht="25.5">
      <c r="A461" s="150" t="s">
        <v>171</v>
      </c>
      <c r="B461" s="147" t="s">
        <v>100</v>
      </c>
      <c r="C461" s="147" t="s">
        <v>530</v>
      </c>
      <c r="D461" s="148" t="s">
        <v>693</v>
      </c>
      <c r="E461" s="147" t="s">
        <v>87</v>
      </c>
      <c r="F461" s="146">
        <f t="shared" si="1"/>
        <v>33000</v>
      </c>
    </row>
    <row r="462" spans="1:6" ht="38.25">
      <c r="A462" s="84" t="s">
        <v>391</v>
      </c>
      <c r="B462" s="147" t="s">
        <v>100</v>
      </c>
      <c r="C462" s="147" t="s">
        <v>530</v>
      </c>
      <c r="D462" s="148" t="s">
        <v>119</v>
      </c>
      <c r="E462" s="149" t="s">
        <v>87</v>
      </c>
      <c r="F462" s="146">
        <f t="shared" si="1"/>
        <v>33000</v>
      </c>
    </row>
    <row r="463" spans="1:6" ht="38.25">
      <c r="A463" s="7" t="s">
        <v>118</v>
      </c>
      <c r="B463" s="147" t="s">
        <v>100</v>
      </c>
      <c r="C463" s="147" t="s">
        <v>530</v>
      </c>
      <c r="D463" s="148" t="s">
        <v>120</v>
      </c>
      <c r="E463" s="149"/>
      <c r="F463" s="146">
        <f t="shared" si="1"/>
        <v>33000</v>
      </c>
    </row>
    <row r="464" spans="1:6" ht="12.75">
      <c r="A464" s="7" t="s">
        <v>121</v>
      </c>
      <c r="B464" s="147" t="s">
        <v>100</v>
      </c>
      <c r="C464" s="147" t="s">
        <v>530</v>
      </c>
      <c r="D464" s="148" t="s">
        <v>122</v>
      </c>
      <c r="E464" s="147" t="s">
        <v>87</v>
      </c>
      <c r="F464" s="146">
        <f t="shared" si="1"/>
        <v>33000</v>
      </c>
    </row>
    <row r="465" spans="1:6" ht="12.75">
      <c r="A465" s="145" t="s">
        <v>493</v>
      </c>
      <c r="B465" s="143" t="s">
        <v>100</v>
      </c>
      <c r="C465" s="143" t="s">
        <v>530</v>
      </c>
      <c r="D465" s="144" t="s">
        <v>122</v>
      </c>
      <c r="E465" s="143" t="s">
        <v>82</v>
      </c>
      <c r="F465" s="142">
        <f>55000-22000</f>
        <v>33000</v>
      </c>
    </row>
  </sheetData>
  <sheetProtection/>
  <mergeCells count="2">
    <mergeCell ref="B3:F3"/>
    <mergeCell ref="A4:F4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357"/>
  <sheetViews>
    <sheetView zoomScalePageLayoutView="0" workbookViewId="0" topLeftCell="A347">
      <selection activeCell="B13" sqref="B13"/>
    </sheetView>
  </sheetViews>
  <sheetFormatPr defaultColWidth="9.140625" defaultRowHeight="12.75"/>
  <cols>
    <col min="1" max="1" width="39.57421875" style="102" customWidth="1"/>
    <col min="2" max="2" width="3.8515625" style="102" customWidth="1"/>
    <col min="3" max="3" width="4.57421875" style="102" customWidth="1"/>
    <col min="4" max="4" width="13.140625" style="102" customWidth="1"/>
    <col min="5" max="5" width="4.57421875" style="102" customWidth="1"/>
    <col min="6" max="7" width="13.8515625" style="579" customWidth="1"/>
    <col min="8" max="16384" width="9.140625" style="102" customWidth="1"/>
  </cols>
  <sheetData>
    <row r="1" spans="1:7" ht="12.75">
      <c r="A1" s="100"/>
      <c r="B1" s="101"/>
      <c r="C1" s="101"/>
      <c r="D1" s="101"/>
      <c r="E1" s="101"/>
      <c r="F1" s="562"/>
      <c r="G1" s="562" t="s">
        <v>915</v>
      </c>
    </row>
    <row r="2" spans="1:7" ht="12.75">
      <c r="A2" s="100"/>
      <c r="B2" s="101"/>
      <c r="C2" s="101"/>
      <c r="D2" s="101"/>
      <c r="E2" s="101"/>
      <c r="F2" s="563"/>
      <c r="G2" s="563" t="s">
        <v>263</v>
      </c>
    </row>
    <row r="3" spans="1:8" ht="12.75">
      <c r="A3" s="490" t="s">
        <v>1016</v>
      </c>
      <c r="B3" s="490"/>
      <c r="C3" s="490"/>
      <c r="D3" s="490"/>
      <c r="E3" s="490"/>
      <c r="F3" s="490"/>
      <c r="G3" s="490"/>
      <c r="H3" s="343"/>
    </row>
    <row r="4" spans="1:7" ht="38.25">
      <c r="A4" s="184" t="s">
        <v>908</v>
      </c>
      <c r="B4" s="184"/>
      <c r="C4" s="184"/>
      <c r="D4" s="184"/>
      <c r="E4" s="184"/>
      <c r="F4" s="564"/>
      <c r="G4" s="564"/>
    </row>
    <row r="5" spans="1:7" ht="12.75">
      <c r="A5" s="182"/>
      <c r="B5" s="182"/>
      <c r="C5" s="182"/>
      <c r="D5" s="182"/>
      <c r="E5" s="182"/>
      <c r="F5" s="565"/>
      <c r="G5" s="565" t="s">
        <v>88</v>
      </c>
    </row>
    <row r="6" spans="1:7" ht="22.5">
      <c r="A6" s="180" t="s">
        <v>84</v>
      </c>
      <c r="B6" s="180" t="s">
        <v>523</v>
      </c>
      <c r="C6" s="180" t="s">
        <v>524</v>
      </c>
      <c r="D6" s="180" t="s">
        <v>525</v>
      </c>
      <c r="E6" s="180" t="s">
        <v>526</v>
      </c>
      <c r="F6" s="566" t="s">
        <v>597</v>
      </c>
      <c r="G6" s="566" t="s">
        <v>924</v>
      </c>
    </row>
    <row r="7" spans="1:7" ht="12.75">
      <c r="A7" s="179" t="s">
        <v>72</v>
      </c>
      <c r="B7" s="179" t="s">
        <v>85</v>
      </c>
      <c r="C7" s="179" t="s">
        <v>73</v>
      </c>
      <c r="D7" s="179" t="s">
        <v>527</v>
      </c>
      <c r="E7" s="179" t="s">
        <v>528</v>
      </c>
      <c r="F7" s="567" t="s">
        <v>529</v>
      </c>
      <c r="G7" s="568">
        <v>7</v>
      </c>
    </row>
    <row r="8" spans="1:7" ht="12.75">
      <c r="A8" s="177" t="s">
        <v>89</v>
      </c>
      <c r="B8" s="176" t="s">
        <v>87</v>
      </c>
      <c r="C8" s="176" t="s">
        <v>87</v>
      </c>
      <c r="D8" s="176" t="s">
        <v>87</v>
      </c>
      <c r="E8" s="176" t="s">
        <v>87</v>
      </c>
      <c r="F8" s="569">
        <f>F9+F83+F89+F98+F145+F171+F254+F269+F275+F343+F350+F357</f>
        <v>483356646</v>
      </c>
      <c r="G8" s="569">
        <f>G9+G83+G89+G98+G145+G171+G254+G269+G275+G343+G350+G357</f>
        <v>444041858.38</v>
      </c>
    </row>
    <row r="9" spans="1:7" ht="12.75">
      <c r="A9" s="174" t="s">
        <v>593</v>
      </c>
      <c r="B9" s="172" t="s">
        <v>530</v>
      </c>
      <c r="C9" s="173" t="s">
        <v>462</v>
      </c>
      <c r="D9" s="172" t="s">
        <v>87</v>
      </c>
      <c r="E9" s="172" t="s">
        <v>87</v>
      </c>
      <c r="F9" s="570">
        <f>F10+F15+F22+F38+F43</f>
        <v>43459517</v>
      </c>
      <c r="G9" s="570">
        <f>G10+G15+G22+G38+G43</f>
        <v>41126144</v>
      </c>
    </row>
    <row r="10" spans="1:7" ht="38.25">
      <c r="A10" s="214" t="s">
        <v>531</v>
      </c>
      <c r="B10" s="213" t="s">
        <v>530</v>
      </c>
      <c r="C10" s="213" t="s">
        <v>532</v>
      </c>
      <c r="D10" s="213" t="s">
        <v>87</v>
      </c>
      <c r="E10" s="213" t="s">
        <v>87</v>
      </c>
      <c r="F10" s="571">
        <f aca="true" t="shared" si="0" ref="F10:G13">F11</f>
        <v>1366926</v>
      </c>
      <c r="G10" s="571">
        <f t="shared" si="0"/>
        <v>1283191</v>
      </c>
    </row>
    <row r="11" spans="1:7" ht="25.5">
      <c r="A11" s="5" t="s">
        <v>583</v>
      </c>
      <c r="B11" s="195" t="s">
        <v>530</v>
      </c>
      <c r="C11" s="195" t="s">
        <v>532</v>
      </c>
      <c r="D11" s="195" t="s">
        <v>686</v>
      </c>
      <c r="E11" s="195" t="s">
        <v>87</v>
      </c>
      <c r="F11" s="571">
        <f t="shared" si="0"/>
        <v>1366926</v>
      </c>
      <c r="G11" s="571">
        <f t="shared" si="0"/>
        <v>1283191</v>
      </c>
    </row>
    <row r="12" spans="1:7" ht="12.75">
      <c r="A12" s="5" t="s">
        <v>357</v>
      </c>
      <c r="B12" s="195" t="s">
        <v>530</v>
      </c>
      <c r="C12" s="195" t="s">
        <v>532</v>
      </c>
      <c r="D12" s="195" t="s">
        <v>687</v>
      </c>
      <c r="E12" s="198" t="s">
        <v>87</v>
      </c>
      <c r="F12" s="571">
        <f t="shared" si="0"/>
        <v>1366926</v>
      </c>
      <c r="G12" s="571">
        <f t="shared" si="0"/>
        <v>1283191</v>
      </c>
    </row>
    <row r="13" spans="1:7" ht="25.5">
      <c r="A13" s="198" t="s">
        <v>731</v>
      </c>
      <c r="B13" s="195" t="s">
        <v>530</v>
      </c>
      <c r="C13" s="195" t="s">
        <v>532</v>
      </c>
      <c r="D13" s="195" t="s">
        <v>688</v>
      </c>
      <c r="E13" s="195" t="s">
        <v>87</v>
      </c>
      <c r="F13" s="571">
        <f t="shared" si="0"/>
        <v>1366926</v>
      </c>
      <c r="G13" s="571">
        <f t="shared" si="0"/>
        <v>1283191</v>
      </c>
    </row>
    <row r="14" spans="1:7" ht="77.25" customHeight="1">
      <c r="A14" s="5" t="s">
        <v>735</v>
      </c>
      <c r="B14" s="195" t="s">
        <v>530</v>
      </c>
      <c r="C14" s="195" t="s">
        <v>532</v>
      </c>
      <c r="D14" s="195" t="s">
        <v>688</v>
      </c>
      <c r="E14" s="195" t="s">
        <v>592</v>
      </c>
      <c r="F14" s="488">
        <v>1366926</v>
      </c>
      <c r="G14" s="488">
        <v>1283191</v>
      </c>
    </row>
    <row r="15" spans="1:7" ht="63.75" customHeight="1">
      <c r="A15" s="214" t="s">
        <v>721</v>
      </c>
      <c r="B15" s="213" t="s">
        <v>530</v>
      </c>
      <c r="C15" s="213" t="s">
        <v>533</v>
      </c>
      <c r="D15" s="213" t="s">
        <v>87</v>
      </c>
      <c r="E15" s="213" t="s">
        <v>87</v>
      </c>
      <c r="F15" s="571">
        <f aca="true" t="shared" si="1" ref="F15:G17">F16</f>
        <v>12571750</v>
      </c>
      <c r="G15" s="571">
        <f t="shared" si="1"/>
        <v>11800895</v>
      </c>
    </row>
    <row r="16" spans="1:7" ht="25.5">
      <c r="A16" s="159" t="s">
        <v>469</v>
      </c>
      <c r="B16" s="147" t="s">
        <v>530</v>
      </c>
      <c r="C16" s="147" t="s">
        <v>533</v>
      </c>
      <c r="D16" s="147" t="s">
        <v>689</v>
      </c>
      <c r="E16" s="147" t="s">
        <v>87</v>
      </c>
      <c r="F16" s="572">
        <f t="shared" si="1"/>
        <v>12571750</v>
      </c>
      <c r="G16" s="572">
        <f t="shared" si="1"/>
        <v>11800895</v>
      </c>
    </row>
    <row r="17" spans="1:7" ht="25.5">
      <c r="A17" s="159" t="s">
        <v>473</v>
      </c>
      <c r="B17" s="147" t="s">
        <v>530</v>
      </c>
      <c r="C17" s="147" t="s">
        <v>533</v>
      </c>
      <c r="D17" s="147" t="s">
        <v>690</v>
      </c>
      <c r="E17" s="149" t="s">
        <v>87</v>
      </c>
      <c r="F17" s="572">
        <f t="shared" si="1"/>
        <v>12571750</v>
      </c>
      <c r="G17" s="572">
        <f t="shared" si="1"/>
        <v>11800895</v>
      </c>
    </row>
    <row r="18" spans="1:7" ht="25.5">
      <c r="A18" s="198" t="s">
        <v>731</v>
      </c>
      <c r="B18" s="195" t="s">
        <v>530</v>
      </c>
      <c r="C18" s="195" t="s">
        <v>533</v>
      </c>
      <c r="D18" s="195" t="s">
        <v>692</v>
      </c>
      <c r="E18" s="195" t="s">
        <v>87</v>
      </c>
      <c r="F18" s="571">
        <f>SUM(F19:F21)</f>
        <v>12571750</v>
      </c>
      <c r="G18" s="571">
        <f>SUM(G19:G21)</f>
        <v>11800895</v>
      </c>
    </row>
    <row r="19" spans="1:7" ht="80.25" customHeight="1">
      <c r="A19" s="5" t="s">
        <v>735</v>
      </c>
      <c r="B19" s="195" t="s">
        <v>530</v>
      </c>
      <c r="C19" s="195" t="s">
        <v>533</v>
      </c>
      <c r="D19" s="195" t="s">
        <v>692</v>
      </c>
      <c r="E19" s="195">
        <v>100</v>
      </c>
      <c r="F19" s="488">
        <v>11857799</v>
      </c>
      <c r="G19" s="488">
        <v>11130717</v>
      </c>
    </row>
    <row r="20" spans="1:7" ht="38.25">
      <c r="A20" s="5" t="s">
        <v>228</v>
      </c>
      <c r="B20" s="195" t="s">
        <v>530</v>
      </c>
      <c r="C20" s="195" t="s">
        <v>533</v>
      </c>
      <c r="D20" s="195" t="s">
        <v>692</v>
      </c>
      <c r="E20" s="195">
        <v>200</v>
      </c>
      <c r="F20" s="488">
        <f>209440+42500+314825+9600+14400</f>
        <v>590765</v>
      </c>
      <c r="G20" s="488">
        <f>196599+39894+295523+9011+13518</f>
        <v>554545</v>
      </c>
    </row>
    <row r="21" spans="1:7" ht="12.75">
      <c r="A21" s="5" t="s">
        <v>77</v>
      </c>
      <c r="B21" s="195" t="s">
        <v>530</v>
      </c>
      <c r="C21" s="195" t="s">
        <v>533</v>
      </c>
      <c r="D21" s="195" t="s">
        <v>692</v>
      </c>
      <c r="E21" s="195">
        <v>800</v>
      </c>
      <c r="F21" s="488">
        <v>123186</v>
      </c>
      <c r="G21" s="488">
        <v>115633</v>
      </c>
    </row>
    <row r="22" spans="1:7" ht="50.25" customHeight="1">
      <c r="A22" s="214" t="s">
        <v>345</v>
      </c>
      <c r="B22" s="213" t="s">
        <v>530</v>
      </c>
      <c r="C22" s="213" t="s">
        <v>534</v>
      </c>
      <c r="D22" s="213" t="s">
        <v>87</v>
      </c>
      <c r="E22" s="213" t="s">
        <v>87</v>
      </c>
      <c r="F22" s="571">
        <f>F23+F30</f>
        <v>5246452</v>
      </c>
      <c r="G22" s="571">
        <f>G23+G30</f>
        <v>4924788</v>
      </c>
    </row>
    <row r="23" spans="1:7" ht="38.25">
      <c r="A23" s="211" t="s">
        <v>171</v>
      </c>
      <c r="B23" s="195" t="s">
        <v>530</v>
      </c>
      <c r="C23" s="195" t="s">
        <v>534</v>
      </c>
      <c r="D23" s="195" t="s">
        <v>693</v>
      </c>
      <c r="E23" s="195" t="s">
        <v>87</v>
      </c>
      <c r="F23" s="571">
        <f aca="true" t="shared" si="2" ref="F23:G25">F24</f>
        <v>4221347</v>
      </c>
      <c r="G23" s="571">
        <f t="shared" si="2"/>
        <v>3962533</v>
      </c>
    </row>
    <row r="24" spans="1:7" ht="63.75">
      <c r="A24" s="4" t="s">
        <v>173</v>
      </c>
      <c r="B24" s="195" t="s">
        <v>530</v>
      </c>
      <c r="C24" s="195" t="s">
        <v>534</v>
      </c>
      <c r="D24" s="195" t="s">
        <v>694</v>
      </c>
      <c r="E24" s="198" t="s">
        <v>87</v>
      </c>
      <c r="F24" s="571">
        <f t="shared" si="2"/>
        <v>4221347</v>
      </c>
      <c r="G24" s="571">
        <f t="shared" si="2"/>
        <v>3962533</v>
      </c>
    </row>
    <row r="25" spans="1:7" ht="51">
      <c r="A25" s="7" t="s">
        <v>594</v>
      </c>
      <c r="B25" s="195" t="s">
        <v>530</v>
      </c>
      <c r="C25" s="195" t="s">
        <v>534</v>
      </c>
      <c r="D25" s="195" t="s">
        <v>312</v>
      </c>
      <c r="E25" s="198"/>
      <c r="F25" s="571">
        <f t="shared" si="2"/>
        <v>4221347</v>
      </c>
      <c r="G25" s="571">
        <f t="shared" si="2"/>
        <v>3962533</v>
      </c>
    </row>
    <row r="26" spans="1:7" ht="25.5">
      <c r="A26" s="198" t="s">
        <v>731</v>
      </c>
      <c r="B26" s="195" t="s">
        <v>530</v>
      </c>
      <c r="C26" s="195" t="s">
        <v>534</v>
      </c>
      <c r="D26" s="195" t="s">
        <v>695</v>
      </c>
      <c r="E26" s="195" t="s">
        <v>87</v>
      </c>
      <c r="F26" s="571">
        <f>SUM(F27:F29)</f>
        <v>4221347</v>
      </c>
      <c r="G26" s="571">
        <f>SUM(G27:G29)</f>
        <v>3962533</v>
      </c>
    </row>
    <row r="27" spans="1:7" ht="78" customHeight="1">
      <c r="A27" s="5" t="s">
        <v>735</v>
      </c>
      <c r="B27" s="195" t="s">
        <v>530</v>
      </c>
      <c r="C27" s="195" t="s">
        <v>534</v>
      </c>
      <c r="D27" s="195" t="s">
        <v>695</v>
      </c>
      <c r="E27" s="195">
        <v>100</v>
      </c>
      <c r="F27" s="488">
        <v>4151448</v>
      </c>
      <c r="G27" s="488">
        <v>3896920</v>
      </c>
    </row>
    <row r="28" spans="1:7" ht="38.25">
      <c r="A28" s="5" t="s">
        <v>228</v>
      </c>
      <c r="B28" s="195" t="s">
        <v>530</v>
      </c>
      <c r="C28" s="195" t="s">
        <v>534</v>
      </c>
      <c r="D28" s="195" t="s">
        <v>695</v>
      </c>
      <c r="E28" s="195" t="s">
        <v>74</v>
      </c>
      <c r="F28" s="488">
        <f>64899+5000</f>
        <v>69899</v>
      </c>
      <c r="G28" s="488">
        <f>60920+4693</f>
        <v>65613</v>
      </c>
    </row>
    <row r="29" spans="1:7" ht="12.75" hidden="1">
      <c r="A29" s="5" t="s">
        <v>77</v>
      </c>
      <c r="B29" s="195" t="s">
        <v>530</v>
      </c>
      <c r="C29" s="195" t="s">
        <v>534</v>
      </c>
      <c r="D29" s="195" t="s">
        <v>695</v>
      </c>
      <c r="E29" s="195">
        <v>800</v>
      </c>
      <c r="F29" s="488"/>
      <c r="G29" s="488"/>
    </row>
    <row r="30" spans="1:7" ht="38.25">
      <c r="A30" s="211" t="s">
        <v>169</v>
      </c>
      <c r="B30" s="195" t="s">
        <v>530</v>
      </c>
      <c r="C30" s="195" t="s">
        <v>534</v>
      </c>
      <c r="D30" s="196" t="s">
        <v>696</v>
      </c>
      <c r="E30" s="198" t="s">
        <v>87</v>
      </c>
      <c r="F30" s="571">
        <f>F31+F34</f>
        <v>1025105</v>
      </c>
      <c r="G30" s="571">
        <f>G31+G34</f>
        <v>962255</v>
      </c>
    </row>
    <row r="31" spans="1:7" ht="25.5">
      <c r="A31" s="4" t="s">
        <v>170</v>
      </c>
      <c r="B31" s="195" t="s">
        <v>530</v>
      </c>
      <c r="C31" s="195" t="s">
        <v>534</v>
      </c>
      <c r="D31" s="199" t="s">
        <v>697</v>
      </c>
      <c r="E31" s="195" t="s">
        <v>87</v>
      </c>
      <c r="F31" s="571">
        <f>F32</f>
        <v>664065</v>
      </c>
      <c r="G31" s="571">
        <f>G32</f>
        <v>623557</v>
      </c>
    </row>
    <row r="32" spans="1:7" ht="25.5">
      <c r="A32" s="198" t="s">
        <v>731</v>
      </c>
      <c r="B32" s="195" t="s">
        <v>530</v>
      </c>
      <c r="C32" s="195" t="s">
        <v>534</v>
      </c>
      <c r="D32" s="196" t="s">
        <v>698</v>
      </c>
      <c r="E32" s="195"/>
      <c r="F32" s="571">
        <f>SUM(F33:F33)</f>
        <v>664065</v>
      </c>
      <c r="G32" s="571">
        <f>SUM(G33:G33)</f>
        <v>623557</v>
      </c>
    </row>
    <row r="33" spans="1:7" ht="78" customHeight="1">
      <c r="A33" s="5" t="s">
        <v>735</v>
      </c>
      <c r="B33" s="195" t="s">
        <v>530</v>
      </c>
      <c r="C33" s="195" t="s">
        <v>534</v>
      </c>
      <c r="D33" s="196" t="s">
        <v>698</v>
      </c>
      <c r="E33" s="195">
        <v>100</v>
      </c>
      <c r="F33" s="488">
        <v>664065</v>
      </c>
      <c r="G33" s="488">
        <v>623557</v>
      </c>
    </row>
    <row r="34" spans="1:7" ht="25.5">
      <c r="A34" s="5" t="s">
        <v>40</v>
      </c>
      <c r="B34" s="195" t="s">
        <v>530</v>
      </c>
      <c r="C34" s="195" t="s">
        <v>534</v>
      </c>
      <c r="D34" s="199" t="s">
        <v>39</v>
      </c>
      <c r="E34" s="195"/>
      <c r="F34" s="571">
        <f>F35</f>
        <v>361040</v>
      </c>
      <c r="G34" s="571">
        <f>G35</f>
        <v>338698</v>
      </c>
    </row>
    <row r="35" spans="1:7" ht="25.5">
      <c r="A35" s="198" t="s">
        <v>731</v>
      </c>
      <c r="B35" s="195" t="s">
        <v>530</v>
      </c>
      <c r="C35" s="195" t="s">
        <v>534</v>
      </c>
      <c r="D35" s="196" t="s">
        <v>38</v>
      </c>
      <c r="E35" s="195"/>
      <c r="F35" s="571">
        <f>SUM(F36:F37)</f>
        <v>361040</v>
      </c>
      <c r="G35" s="571">
        <f>SUM(G36:G37)</f>
        <v>338698</v>
      </c>
    </row>
    <row r="36" spans="1:7" ht="75" customHeight="1">
      <c r="A36" s="5" t="s">
        <v>735</v>
      </c>
      <c r="B36" s="195" t="s">
        <v>530</v>
      </c>
      <c r="C36" s="195" t="s">
        <v>534</v>
      </c>
      <c r="D36" s="196" t="s">
        <v>38</v>
      </c>
      <c r="E36" s="195">
        <v>100</v>
      </c>
      <c r="F36" s="488">
        <v>361040</v>
      </c>
      <c r="G36" s="488">
        <v>338698</v>
      </c>
    </row>
    <row r="37" spans="1:7" ht="38.25" hidden="1">
      <c r="A37" s="5" t="s">
        <v>228</v>
      </c>
      <c r="B37" s="195" t="s">
        <v>530</v>
      </c>
      <c r="C37" s="195" t="s">
        <v>534</v>
      </c>
      <c r="D37" s="196" t="s">
        <v>38</v>
      </c>
      <c r="E37" s="195">
        <v>200</v>
      </c>
      <c r="F37" s="488"/>
      <c r="G37" s="488"/>
    </row>
    <row r="38" spans="1:7" ht="12.75">
      <c r="A38" s="214" t="s">
        <v>535</v>
      </c>
      <c r="B38" s="213" t="s">
        <v>530</v>
      </c>
      <c r="C38" s="213" t="s">
        <v>536</v>
      </c>
      <c r="D38" s="213" t="s">
        <v>87</v>
      </c>
      <c r="E38" s="213" t="s">
        <v>87</v>
      </c>
      <c r="F38" s="571">
        <f aca="true" t="shared" si="3" ref="F38:G41">F39</f>
        <v>100000</v>
      </c>
      <c r="G38" s="571">
        <f t="shared" si="3"/>
        <v>93869</v>
      </c>
    </row>
    <row r="39" spans="1:7" ht="25.5">
      <c r="A39" s="5" t="s">
        <v>174</v>
      </c>
      <c r="B39" s="195" t="s">
        <v>530</v>
      </c>
      <c r="C39" s="195" t="s">
        <v>536</v>
      </c>
      <c r="D39" s="195" t="s">
        <v>699</v>
      </c>
      <c r="E39" s="195" t="s">
        <v>87</v>
      </c>
      <c r="F39" s="571">
        <f t="shared" si="3"/>
        <v>100000</v>
      </c>
      <c r="G39" s="571">
        <f t="shared" si="3"/>
        <v>93869</v>
      </c>
    </row>
    <row r="40" spans="1:7" ht="12.75">
      <c r="A40" s="5" t="s">
        <v>535</v>
      </c>
      <c r="B40" s="195" t="s">
        <v>530</v>
      </c>
      <c r="C40" s="195" t="s">
        <v>536</v>
      </c>
      <c r="D40" s="195" t="s">
        <v>700</v>
      </c>
      <c r="E40" s="198" t="s">
        <v>87</v>
      </c>
      <c r="F40" s="571">
        <f t="shared" si="3"/>
        <v>100000</v>
      </c>
      <c r="G40" s="571">
        <f t="shared" si="3"/>
        <v>93869</v>
      </c>
    </row>
    <row r="41" spans="1:7" ht="22.5" customHeight="1">
      <c r="A41" s="198" t="s">
        <v>261</v>
      </c>
      <c r="B41" s="195" t="s">
        <v>530</v>
      </c>
      <c r="C41" s="195" t="s">
        <v>536</v>
      </c>
      <c r="D41" s="195" t="s">
        <v>222</v>
      </c>
      <c r="E41" s="209" t="s">
        <v>87</v>
      </c>
      <c r="F41" s="571">
        <f t="shared" si="3"/>
        <v>100000</v>
      </c>
      <c r="G41" s="571">
        <f t="shared" si="3"/>
        <v>93869</v>
      </c>
    </row>
    <row r="42" spans="1:7" ht="12.75">
      <c r="A42" s="5" t="s">
        <v>77</v>
      </c>
      <c r="B42" s="195" t="s">
        <v>530</v>
      </c>
      <c r="C42" s="195" t="s">
        <v>536</v>
      </c>
      <c r="D42" s="195" t="s">
        <v>222</v>
      </c>
      <c r="E42" s="195" t="s">
        <v>78</v>
      </c>
      <c r="F42" s="488">
        <v>100000</v>
      </c>
      <c r="G42" s="488">
        <v>93869</v>
      </c>
    </row>
    <row r="43" spans="1:7" ht="12.75">
      <c r="A43" s="214" t="s">
        <v>471</v>
      </c>
      <c r="B43" s="213" t="s">
        <v>530</v>
      </c>
      <c r="C43" s="213" t="s">
        <v>100</v>
      </c>
      <c r="D43" s="213" t="s">
        <v>87</v>
      </c>
      <c r="E43" s="213" t="s">
        <v>87</v>
      </c>
      <c r="F43" s="571">
        <f>F44+F50+F56+F66+F70+F61</f>
        <v>24174389</v>
      </c>
      <c r="G43" s="571">
        <f>G44+G50+G56+G66+G70+G61</f>
        <v>23023401</v>
      </c>
    </row>
    <row r="44" spans="1:7" ht="63.75" customHeight="1">
      <c r="A44" s="150" t="s">
        <v>711</v>
      </c>
      <c r="B44" s="195" t="s">
        <v>530</v>
      </c>
      <c r="C44" s="195" t="s">
        <v>100</v>
      </c>
      <c r="D44" s="196" t="s">
        <v>8</v>
      </c>
      <c r="E44" s="195" t="s">
        <v>87</v>
      </c>
      <c r="F44" s="571">
        <f aca="true" t="shared" si="4" ref="F44:G46">F45</f>
        <v>662105</v>
      </c>
      <c r="G44" s="571">
        <f t="shared" si="4"/>
        <v>903118</v>
      </c>
    </row>
    <row r="45" spans="1:7" ht="41.25" customHeight="1">
      <c r="A45" s="214" t="s">
        <v>476</v>
      </c>
      <c r="B45" s="195" t="s">
        <v>530</v>
      </c>
      <c r="C45" s="195" t="s">
        <v>100</v>
      </c>
      <c r="D45" s="196" t="s">
        <v>9</v>
      </c>
      <c r="E45" s="209" t="s">
        <v>87</v>
      </c>
      <c r="F45" s="571">
        <f t="shared" si="4"/>
        <v>662105</v>
      </c>
      <c r="G45" s="571">
        <f t="shared" si="4"/>
        <v>903118</v>
      </c>
    </row>
    <row r="46" spans="1:7" ht="51">
      <c r="A46" s="8" t="s">
        <v>37</v>
      </c>
      <c r="B46" s="195" t="s">
        <v>530</v>
      </c>
      <c r="C46" s="195" t="s">
        <v>100</v>
      </c>
      <c r="D46" s="196" t="s">
        <v>10</v>
      </c>
      <c r="E46" s="209"/>
      <c r="F46" s="571">
        <f t="shared" si="4"/>
        <v>662105</v>
      </c>
      <c r="G46" s="571">
        <f t="shared" si="4"/>
        <v>903118</v>
      </c>
    </row>
    <row r="47" spans="1:7" ht="25.5">
      <c r="A47" s="198" t="s">
        <v>283</v>
      </c>
      <c r="B47" s="195" t="s">
        <v>530</v>
      </c>
      <c r="C47" s="195" t="s">
        <v>100</v>
      </c>
      <c r="D47" s="196" t="s">
        <v>11</v>
      </c>
      <c r="E47" s="209" t="s">
        <v>87</v>
      </c>
      <c r="F47" s="571">
        <f>SUM(F48:F49)</f>
        <v>662105</v>
      </c>
      <c r="G47" s="571">
        <f>SUM(G48:G49)</f>
        <v>903118</v>
      </c>
    </row>
    <row r="48" spans="1:7" ht="38.25">
      <c r="A48" s="5" t="s">
        <v>228</v>
      </c>
      <c r="B48" s="195" t="s">
        <v>530</v>
      </c>
      <c r="C48" s="195" t="s">
        <v>100</v>
      </c>
      <c r="D48" s="196" t="s">
        <v>11</v>
      </c>
      <c r="E48" s="195" t="s">
        <v>74</v>
      </c>
      <c r="F48" s="488">
        <f>350000+153125-300000</f>
        <v>203125</v>
      </c>
      <c r="G48" s="488">
        <v>472278</v>
      </c>
    </row>
    <row r="49" spans="1:7" ht="12.75">
      <c r="A49" s="5" t="s">
        <v>77</v>
      </c>
      <c r="B49" s="195" t="s">
        <v>530</v>
      </c>
      <c r="C49" s="195" t="s">
        <v>100</v>
      </c>
      <c r="D49" s="196" t="s">
        <v>11</v>
      </c>
      <c r="E49" s="195">
        <v>800</v>
      </c>
      <c r="F49" s="488">
        <v>458980</v>
      </c>
      <c r="G49" s="488">
        <v>430840</v>
      </c>
    </row>
    <row r="50" spans="1:7" ht="61.5" customHeight="1">
      <c r="A50" s="211" t="s">
        <v>296</v>
      </c>
      <c r="B50" s="195" t="s">
        <v>530</v>
      </c>
      <c r="C50" s="195" t="s">
        <v>100</v>
      </c>
      <c r="D50" s="195" t="s">
        <v>12</v>
      </c>
      <c r="E50" s="195"/>
      <c r="F50" s="571">
        <f aca="true" t="shared" si="5" ref="F50:G53">F51</f>
        <v>50000</v>
      </c>
      <c r="G50" s="571">
        <f t="shared" si="5"/>
        <v>46934</v>
      </c>
    </row>
    <row r="51" spans="1:7" ht="91.5" customHeight="1">
      <c r="A51" s="368" t="s">
        <v>297</v>
      </c>
      <c r="B51" s="195" t="s">
        <v>530</v>
      </c>
      <c r="C51" s="195" t="s">
        <v>100</v>
      </c>
      <c r="D51" s="195" t="s">
        <v>13</v>
      </c>
      <c r="E51" s="195"/>
      <c r="F51" s="571">
        <f t="shared" si="5"/>
        <v>50000</v>
      </c>
      <c r="G51" s="571">
        <f t="shared" si="5"/>
        <v>46934</v>
      </c>
    </row>
    <row r="52" spans="1:7" ht="38.25">
      <c r="A52" s="53" t="s">
        <v>284</v>
      </c>
      <c r="B52" s="51" t="s">
        <v>530</v>
      </c>
      <c r="C52" s="51" t="s">
        <v>100</v>
      </c>
      <c r="D52" s="51" t="s">
        <v>110</v>
      </c>
      <c r="E52" s="51"/>
      <c r="F52" s="571">
        <f t="shared" si="5"/>
        <v>50000</v>
      </c>
      <c r="G52" s="571">
        <f t="shared" si="5"/>
        <v>46934</v>
      </c>
    </row>
    <row r="53" spans="1:7" ht="36">
      <c r="A53" s="9" t="s">
        <v>271</v>
      </c>
      <c r="B53" s="51" t="s">
        <v>530</v>
      </c>
      <c r="C53" s="51" t="s">
        <v>100</v>
      </c>
      <c r="D53" s="51" t="s">
        <v>285</v>
      </c>
      <c r="E53" s="51"/>
      <c r="F53" s="571">
        <f t="shared" si="5"/>
        <v>50000</v>
      </c>
      <c r="G53" s="571">
        <f t="shared" si="5"/>
        <v>46934</v>
      </c>
    </row>
    <row r="54" spans="1:7" ht="38.25">
      <c r="A54" s="53" t="s">
        <v>228</v>
      </c>
      <c r="B54" s="51" t="s">
        <v>530</v>
      </c>
      <c r="C54" s="51" t="s">
        <v>100</v>
      </c>
      <c r="D54" s="51" t="s">
        <v>285</v>
      </c>
      <c r="E54" s="51">
        <v>200</v>
      </c>
      <c r="F54" s="571">
        <v>50000</v>
      </c>
      <c r="G54" s="571">
        <v>46934</v>
      </c>
    </row>
    <row r="55" spans="1:7" ht="38.25" hidden="1">
      <c r="A55" s="5" t="s">
        <v>228</v>
      </c>
      <c r="B55" s="195" t="s">
        <v>530</v>
      </c>
      <c r="C55" s="195" t="s">
        <v>100</v>
      </c>
      <c r="D55" s="195" t="s">
        <v>287</v>
      </c>
      <c r="E55" s="195">
        <v>200</v>
      </c>
      <c r="F55" s="488"/>
      <c r="G55" s="488"/>
    </row>
    <row r="56" spans="1:7" ht="63.75">
      <c r="A56" s="211" t="s">
        <v>713</v>
      </c>
      <c r="B56" s="195" t="s">
        <v>530</v>
      </c>
      <c r="C56" s="195" t="s">
        <v>100</v>
      </c>
      <c r="D56" s="195" t="s">
        <v>111</v>
      </c>
      <c r="E56" s="195"/>
      <c r="F56" s="571">
        <f aca="true" t="shared" si="6" ref="F56:G59">F57</f>
        <v>30000</v>
      </c>
      <c r="G56" s="571">
        <f t="shared" si="6"/>
        <v>28161</v>
      </c>
    </row>
    <row r="57" spans="1:7" ht="77.25" customHeight="1">
      <c r="A57" s="4" t="s">
        <v>714</v>
      </c>
      <c r="B57" s="195" t="s">
        <v>530</v>
      </c>
      <c r="C57" s="195" t="s">
        <v>100</v>
      </c>
      <c r="D57" s="195" t="s">
        <v>112</v>
      </c>
      <c r="E57" s="195"/>
      <c r="F57" s="571">
        <f t="shared" si="6"/>
        <v>30000</v>
      </c>
      <c r="G57" s="571">
        <f t="shared" si="6"/>
        <v>28161</v>
      </c>
    </row>
    <row r="58" spans="1:7" ht="38.25">
      <c r="A58" s="5" t="s">
        <v>113</v>
      </c>
      <c r="B58" s="195" t="s">
        <v>530</v>
      </c>
      <c r="C58" s="195" t="s">
        <v>100</v>
      </c>
      <c r="D58" s="195" t="s">
        <v>114</v>
      </c>
      <c r="E58" s="195"/>
      <c r="F58" s="571">
        <f t="shared" si="6"/>
        <v>30000</v>
      </c>
      <c r="G58" s="571">
        <f t="shared" si="6"/>
        <v>28161</v>
      </c>
    </row>
    <row r="59" spans="1:7" ht="51">
      <c r="A59" s="5" t="s">
        <v>116</v>
      </c>
      <c r="B59" s="195" t="s">
        <v>530</v>
      </c>
      <c r="C59" s="195" t="s">
        <v>100</v>
      </c>
      <c r="D59" s="195" t="s">
        <v>115</v>
      </c>
      <c r="E59" s="195"/>
      <c r="F59" s="571">
        <f t="shared" si="6"/>
        <v>30000</v>
      </c>
      <c r="G59" s="571">
        <f t="shared" si="6"/>
        <v>28161</v>
      </c>
    </row>
    <row r="60" spans="1:7" ht="38.25">
      <c r="A60" s="5" t="s">
        <v>228</v>
      </c>
      <c r="B60" s="195" t="s">
        <v>530</v>
      </c>
      <c r="C60" s="195" t="s">
        <v>100</v>
      </c>
      <c r="D60" s="195" t="s">
        <v>115</v>
      </c>
      <c r="E60" s="195">
        <v>200</v>
      </c>
      <c r="F60" s="488">
        <v>30000</v>
      </c>
      <c r="G60" s="488">
        <v>28161</v>
      </c>
    </row>
    <row r="61" spans="1:7" ht="25.5">
      <c r="A61" s="159" t="s">
        <v>469</v>
      </c>
      <c r="B61" s="147" t="s">
        <v>530</v>
      </c>
      <c r="C61" s="147" t="s">
        <v>100</v>
      </c>
      <c r="D61" s="147" t="s">
        <v>689</v>
      </c>
      <c r="E61" s="147" t="s">
        <v>87</v>
      </c>
      <c r="F61" s="572">
        <f>F62</f>
        <v>334700</v>
      </c>
      <c r="G61" s="572">
        <f>G62</f>
        <v>334700</v>
      </c>
    </row>
    <row r="62" spans="1:7" ht="25.5">
      <c r="A62" s="159" t="s">
        <v>473</v>
      </c>
      <c r="B62" s="147" t="s">
        <v>530</v>
      </c>
      <c r="C62" s="147" t="s">
        <v>100</v>
      </c>
      <c r="D62" s="147" t="s">
        <v>690</v>
      </c>
      <c r="E62" s="149" t="s">
        <v>87</v>
      </c>
      <c r="F62" s="572">
        <f>F63</f>
        <v>334700</v>
      </c>
      <c r="G62" s="572">
        <f>G63</f>
        <v>334700</v>
      </c>
    </row>
    <row r="63" spans="1:7" ht="51">
      <c r="A63" s="159" t="s">
        <v>293</v>
      </c>
      <c r="B63" s="147" t="s">
        <v>530</v>
      </c>
      <c r="C63" s="147" t="s">
        <v>100</v>
      </c>
      <c r="D63" s="147" t="s">
        <v>691</v>
      </c>
      <c r="E63" s="149"/>
      <c r="F63" s="572">
        <f>SUM(F64:F65)</f>
        <v>334700</v>
      </c>
      <c r="G63" s="572">
        <f>SUM(G64:G65)</f>
        <v>334700</v>
      </c>
    </row>
    <row r="64" spans="1:7" ht="78.75" customHeight="1">
      <c r="A64" s="159" t="s">
        <v>735</v>
      </c>
      <c r="B64" s="147" t="s">
        <v>530</v>
      </c>
      <c r="C64" s="147" t="s">
        <v>100</v>
      </c>
      <c r="D64" s="147" t="s">
        <v>691</v>
      </c>
      <c r="E64" s="149">
        <v>100</v>
      </c>
      <c r="F64" s="483">
        <v>300582</v>
      </c>
      <c r="G64" s="483">
        <v>300582</v>
      </c>
    </row>
    <row r="65" spans="1:7" ht="38.25">
      <c r="A65" s="159" t="s">
        <v>228</v>
      </c>
      <c r="B65" s="147" t="s">
        <v>530</v>
      </c>
      <c r="C65" s="147" t="s">
        <v>100</v>
      </c>
      <c r="D65" s="147" t="s">
        <v>691</v>
      </c>
      <c r="E65" s="149">
        <v>200</v>
      </c>
      <c r="F65" s="483">
        <v>34118</v>
      </c>
      <c r="G65" s="483">
        <v>34118</v>
      </c>
    </row>
    <row r="66" spans="1:7" ht="38.25">
      <c r="A66" s="5" t="s">
        <v>520</v>
      </c>
      <c r="B66" s="195" t="s">
        <v>530</v>
      </c>
      <c r="C66" s="195" t="s">
        <v>100</v>
      </c>
      <c r="D66" s="196" t="s">
        <v>519</v>
      </c>
      <c r="E66" s="195"/>
      <c r="F66" s="571">
        <f aca="true" t="shared" si="7" ref="F66:G68">F67</f>
        <v>59900</v>
      </c>
      <c r="G66" s="571">
        <f t="shared" si="7"/>
        <v>56227</v>
      </c>
    </row>
    <row r="67" spans="1:7" ht="25.5">
      <c r="A67" s="4" t="s">
        <v>518</v>
      </c>
      <c r="B67" s="195" t="s">
        <v>530</v>
      </c>
      <c r="C67" s="195" t="s">
        <v>100</v>
      </c>
      <c r="D67" s="196" t="s">
        <v>517</v>
      </c>
      <c r="E67" s="195"/>
      <c r="F67" s="571">
        <f t="shared" si="7"/>
        <v>59900</v>
      </c>
      <c r="G67" s="571">
        <f t="shared" si="7"/>
        <v>56227</v>
      </c>
    </row>
    <row r="68" spans="1:7" ht="25.5">
      <c r="A68" s="198" t="s">
        <v>36</v>
      </c>
      <c r="B68" s="195" t="s">
        <v>530</v>
      </c>
      <c r="C68" s="195" t="s">
        <v>100</v>
      </c>
      <c r="D68" s="196" t="s">
        <v>716</v>
      </c>
      <c r="E68" s="195"/>
      <c r="F68" s="571">
        <f t="shared" si="7"/>
        <v>59900</v>
      </c>
      <c r="G68" s="571">
        <f t="shared" si="7"/>
        <v>56227</v>
      </c>
    </row>
    <row r="69" spans="1:7" ht="12.75">
      <c r="A69" s="5" t="s">
        <v>77</v>
      </c>
      <c r="B69" s="195" t="s">
        <v>530</v>
      </c>
      <c r="C69" s="195" t="s">
        <v>100</v>
      </c>
      <c r="D69" s="196" t="s">
        <v>716</v>
      </c>
      <c r="E69" s="195">
        <v>800</v>
      </c>
      <c r="F69" s="488">
        <v>59900</v>
      </c>
      <c r="G69" s="488">
        <v>56227</v>
      </c>
    </row>
    <row r="70" spans="1:7" ht="25.5">
      <c r="A70" s="211" t="s">
        <v>626</v>
      </c>
      <c r="B70" s="195" t="s">
        <v>530</v>
      </c>
      <c r="C70" s="195" t="s">
        <v>100</v>
      </c>
      <c r="D70" s="196" t="s">
        <v>14</v>
      </c>
      <c r="E70" s="209" t="s">
        <v>87</v>
      </c>
      <c r="F70" s="571">
        <f>F71</f>
        <v>23037684</v>
      </c>
      <c r="G70" s="571">
        <f>G71</f>
        <v>21654261</v>
      </c>
    </row>
    <row r="71" spans="1:7" ht="25.5">
      <c r="A71" s="4" t="s">
        <v>636</v>
      </c>
      <c r="B71" s="195" t="s">
        <v>530</v>
      </c>
      <c r="C71" s="195" t="s">
        <v>100</v>
      </c>
      <c r="D71" s="199" t="s">
        <v>16</v>
      </c>
      <c r="E71" s="210" t="s">
        <v>87</v>
      </c>
      <c r="F71" s="571">
        <f>F72+F76+F78+F80</f>
        <v>23037684</v>
      </c>
      <c r="G71" s="571">
        <f>G72+G76+G78+G80</f>
        <v>21654261</v>
      </c>
    </row>
    <row r="72" spans="1:7" ht="38.25">
      <c r="A72" s="198" t="s">
        <v>494</v>
      </c>
      <c r="B72" s="195" t="s">
        <v>530</v>
      </c>
      <c r="C72" s="195" t="s">
        <v>100</v>
      </c>
      <c r="D72" s="196" t="s">
        <v>17</v>
      </c>
      <c r="E72" s="209" t="s">
        <v>87</v>
      </c>
      <c r="F72" s="571">
        <f>SUM(F73:F75)</f>
        <v>22740334</v>
      </c>
      <c r="G72" s="571">
        <f>SUM(G73:G75)</f>
        <v>21346108</v>
      </c>
    </row>
    <row r="73" spans="1:7" ht="80.25" customHeight="1">
      <c r="A73" s="5" t="s">
        <v>735</v>
      </c>
      <c r="B73" s="195" t="s">
        <v>530</v>
      </c>
      <c r="C73" s="195" t="s">
        <v>100</v>
      </c>
      <c r="D73" s="196" t="s">
        <v>17</v>
      </c>
      <c r="E73" s="195" t="s">
        <v>592</v>
      </c>
      <c r="F73" s="488">
        <v>21759087</v>
      </c>
      <c r="G73" s="488">
        <f>15677788+4747234</f>
        <v>20425022</v>
      </c>
    </row>
    <row r="74" spans="1:7" ht="38.25">
      <c r="A74" s="5" t="s">
        <v>228</v>
      </c>
      <c r="B74" s="195" t="s">
        <v>530</v>
      </c>
      <c r="C74" s="195" t="s">
        <v>100</v>
      </c>
      <c r="D74" s="196" t="s">
        <v>17</v>
      </c>
      <c r="E74" s="195" t="s">
        <v>74</v>
      </c>
      <c r="F74" s="488">
        <f>29400+15000+350000+540000</f>
        <v>934400</v>
      </c>
      <c r="G74" s="488">
        <f>27597+14080+328541+506893</f>
        <v>877111</v>
      </c>
    </row>
    <row r="75" spans="1:7" ht="12.75">
      <c r="A75" s="5" t="s">
        <v>77</v>
      </c>
      <c r="B75" s="195" t="s">
        <v>530</v>
      </c>
      <c r="C75" s="195" t="s">
        <v>100</v>
      </c>
      <c r="D75" s="196" t="s">
        <v>17</v>
      </c>
      <c r="E75" s="195" t="s">
        <v>78</v>
      </c>
      <c r="F75" s="488">
        <v>46847</v>
      </c>
      <c r="G75" s="488">
        <v>43975</v>
      </c>
    </row>
    <row r="76" spans="1:7" ht="25.5" hidden="1">
      <c r="A76" s="198" t="s">
        <v>36</v>
      </c>
      <c r="B76" s="195" t="s">
        <v>530</v>
      </c>
      <c r="C76" s="195" t="s">
        <v>100</v>
      </c>
      <c r="D76" s="196" t="s">
        <v>341</v>
      </c>
      <c r="E76" s="195"/>
      <c r="F76" s="488">
        <f>F77</f>
        <v>0</v>
      </c>
      <c r="G76" s="488">
        <f>G77</f>
        <v>0</v>
      </c>
    </row>
    <row r="77" spans="1:7" ht="12.75" hidden="1">
      <c r="A77" s="5" t="s">
        <v>77</v>
      </c>
      <c r="B77" s="195" t="s">
        <v>530</v>
      </c>
      <c r="C77" s="195" t="s">
        <v>100</v>
      </c>
      <c r="D77" s="196" t="s">
        <v>341</v>
      </c>
      <c r="E77" s="195">
        <v>800</v>
      </c>
      <c r="F77" s="488"/>
      <c r="G77" s="488"/>
    </row>
    <row r="78" spans="1:7" ht="25.5" customHeight="1">
      <c r="A78" s="198" t="s">
        <v>464</v>
      </c>
      <c r="B78" s="195" t="s">
        <v>530</v>
      </c>
      <c r="C78" s="195" t="s">
        <v>100</v>
      </c>
      <c r="D78" s="196" t="s">
        <v>18</v>
      </c>
      <c r="E78" s="209" t="s">
        <v>87</v>
      </c>
      <c r="F78" s="571">
        <f>F79</f>
        <v>130000</v>
      </c>
      <c r="G78" s="571">
        <f>G79</f>
        <v>140803</v>
      </c>
    </row>
    <row r="79" spans="1:7" ht="38.25">
      <c r="A79" s="5" t="s">
        <v>228</v>
      </c>
      <c r="B79" s="195" t="s">
        <v>530</v>
      </c>
      <c r="C79" s="195" t="s">
        <v>100</v>
      </c>
      <c r="D79" s="196" t="s">
        <v>18</v>
      </c>
      <c r="E79" s="196">
        <v>200</v>
      </c>
      <c r="F79" s="488">
        <f>150000-20000</f>
        <v>130000</v>
      </c>
      <c r="G79" s="488">
        <v>140803</v>
      </c>
    </row>
    <row r="80" spans="1:7" ht="63.75">
      <c r="A80" s="6" t="s">
        <v>767</v>
      </c>
      <c r="B80" s="195" t="s">
        <v>530</v>
      </c>
      <c r="C80" s="195" t="s">
        <v>100</v>
      </c>
      <c r="D80" s="196" t="s">
        <v>46</v>
      </c>
      <c r="E80" s="196"/>
      <c r="F80" s="571">
        <f>SUM(F81:F82)</f>
        <v>167350</v>
      </c>
      <c r="G80" s="571">
        <f>SUM(G81:G82)</f>
        <v>167350</v>
      </c>
    </row>
    <row r="81" spans="1:7" ht="79.5" customHeight="1">
      <c r="A81" s="5" t="s">
        <v>735</v>
      </c>
      <c r="B81" s="195" t="s">
        <v>530</v>
      </c>
      <c r="C81" s="195" t="s">
        <v>100</v>
      </c>
      <c r="D81" s="196" t="s">
        <v>46</v>
      </c>
      <c r="E81" s="196">
        <v>100</v>
      </c>
      <c r="F81" s="483">
        <v>124992</v>
      </c>
      <c r="G81" s="483">
        <v>124992</v>
      </c>
    </row>
    <row r="82" spans="1:7" ht="38.25">
      <c r="A82" s="193" t="s">
        <v>228</v>
      </c>
      <c r="B82" s="191" t="s">
        <v>530</v>
      </c>
      <c r="C82" s="191" t="s">
        <v>100</v>
      </c>
      <c r="D82" s="192" t="s">
        <v>46</v>
      </c>
      <c r="E82" s="192">
        <v>200</v>
      </c>
      <c r="F82" s="573">
        <v>42358</v>
      </c>
      <c r="G82" s="573">
        <v>42358</v>
      </c>
    </row>
    <row r="83" spans="1:7" ht="12.75">
      <c r="A83" s="174" t="s">
        <v>522</v>
      </c>
      <c r="B83" s="172" t="s">
        <v>532</v>
      </c>
      <c r="C83" s="216" t="s">
        <v>462</v>
      </c>
      <c r="D83" s="172" t="s">
        <v>87</v>
      </c>
      <c r="E83" s="172" t="s">
        <v>87</v>
      </c>
      <c r="F83" s="570">
        <f aca="true" t="shared" si="8" ref="F83:G87">F84</f>
        <v>16200</v>
      </c>
      <c r="G83" s="570">
        <f t="shared" si="8"/>
        <v>15207</v>
      </c>
    </row>
    <row r="84" spans="1:7" ht="12.75">
      <c r="A84" s="214" t="s">
        <v>521</v>
      </c>
      <c r="B84" s="213" t="s">
        <v>532</v>
      </c>
      <c r="C84" s="213" t="s">
        <v>533</v>
      </c>
      <c r="D84" s="212" t="s">
        <v>87</v>
      </c>
      <c r="E84" s="212" t="s">
        <v>87</v>
      </c>
      <c r="F84" s="571">
        <f t="shared" si="8"/>
        <v>16200</v>
      </c>
      <c r="G84" s="571">
        <f t="shared" si="8"/>
        <v>15207</v>
      </c>
    </row>
    <row r="85" spans="1:7" ht="38.25">
      <c r="A85" s="5" t="s">
        <v>520</v>
      </c>
      <c r="B85" s="195" t="s">
        <v>532</v>
      </c>
      <c r="C85" s="195" t="s">
        <v>533</v>
      </c>
      <c r="D85" s="196" t="s">
        <v>519</v>
      </c>
      <c r="E85" s="209" t="s">
        <v>87</v>
      </c>
      <c r="F85" s="571">
        <f t="shared" si="8"/>
        <v>16200</v>
      </c>
      <c r="G85" s="571">
        <f t="shared" si="8"/>
        <v>15207</v>
      </c>
    </row>
    <row r="86" spans="1:7" ht="25.5">
      <c r="A86" s="5" t="s">
        <v>518</v>
      </c>
      <c r="B86" s="195" t="s">
        <v>532</v>
      </c>
      <c r="C86" s="195" t="s">
        <v>533</v>
      </c>
      <c r="D86" s="196" t="s">
        <v>517</v>
      </c>
      <c r="E86" s="209"/>
      <c r="F86" s="571">
        <f t="shared" si="8"/>
        <v>16200</v>
      </c>
      <c r="G86" s="571">
        <f t="shared" si="8"/>
        <v>15207</v>
      </c>
    </row>
    <row r="87" spans="1:7" ht="25.5">
      <c r="A87" s="12" t="s">
        <v>516</v>
      </c>
      <c r="B87" s="195" t="s">
        <v>532</v>
      </c>
      <c r="C87" s="195" t="s">
        <v>533</v>
      </c>
      <c r="D87" s="196" t="s">
        <v>515</v>
      </c>
      <c r="E87" s="210" t="s">
        <v>87</v>
      </c>
      <c r="F87" s="571">
        <f t="shared" si="8"/>
        <v>16200</v>
      </c>
      <c r="G87" s="571">
        <f t="shared" si="8"/>
        <v>15207</v>
      </c>
    </row>
    <row r="88" spans="1:7" ht="27.75" customHeight="1">
      <c r="A88" s="193" t="s">
        <v>91</v>
      </c>
      <c r="B88" s="191" t="s">
        <v>532</v>
      </c>
      <c r="C88" s="191" t="s">
        <v>533</v>
      </c>
      <c r="D88" s="192" t="s">
        <v>515</v>
      </c>
      <c r="E88" s="191">
        <v>200</v>
      </c>
      <c r="F88" s="574">
        <v>16200</v>
      </c>
      <c r="G88" s="574">
        <v>15207</v>
      </c>
    </row>
    <row r="89" spans="1:7" ht="25.5">
      <c r="A89" s="174" t="s">
        <v>472</v>
      </c>
      <c r="B89" s="172" t="s">
        <v>101</v>
      </c>
      <c r="C89" s="216" t="s">
        <v>462</v>
      </c>
      <c r="D89" s="172" t="s">
        <v>87</v>
      </c>
      <c r="E89" s="172" t="s">
        <v>87</v>
      </c>
      <c r="F89" s="570">
        <f aca="true" t="shared" si="9" ref="F89:G93">F90</f>
        <v>2707710</v>
      </c>
      <c r="G89" s="570">
        <f t="shared" si="9"/>
        <v>2541699</v>
      </c>
    </row>
    <row r="90" spans="1:7" ht="51">
      <c r="A90" s="214" t="s">
        <v>481</v>
      </c>
      <c r="B90" s="213" t="s">
        <v>101</v>
      </c>
      <c r="C90" s="213">
        <v>10</v>
      </c>
      <c r="D90" s="213" t="s">
        <v>87</v>
      </c>
      <c r="E90" s="213" t="s">
        <v>87</v>
      </c>
      <c r="F90" s="571">
        <f t="shared" si="9"/>
        <v>2707710</v>
      </c>
      <c r="G90" s="571">
        <f t="shared" si="9"/>
        <v>2541699</v>
      </c>
    </row>
    <row r="91" spans="1:7" ht="76.5">
      <c r="A91" s="211" t="s">
        <v>482</v>
      </c>
      <c r="B91" s="195" t="s">
        <v>101</v>
      </c>
      <c r="C91" s="195">
        <v>10</v>
      </c>
      <c r="D91" s="196" t="s">
        <v>19</v>
      </c>
      <c r="E91" s="195" t="s">
        <v>87</v>
      </c>
      <c r="F91" s="571">
        <f t="shared" si="9"/>
        <v>2707710</v>
      </c>
      <c r="G91" s="571">
        <f t="shared" si="9"/>
        <v>2541699</v>
      </c>
    </row>
    <row r="92" spans="1:7" ht="100.5" customHeight="1">
      <c r="A92" s="4" t="s">
        <v>294</v>
      </c>
      <c r="B92" s="195" t="s">
        <v>101</v>
      </c>
      <c r="C92" s="195">
        <v>10</v>
      </c>
      <c r="D92" s="196" t="s">
        <v>883</v>
      </c>
      <c r="E92" s="195"/>
      <c r="F92" s="571">
        <f t="shared" si="9"/>
        <v>2707710</v>
      </c>
      <c r="G92" s="571">
        <f t="shared" si="9"/>
        <v>2541699</v>
      </c>
    </row>
    <row r="93" spans="1:7" ht="77.25" customHeight="1">
      <c r="A93" s="7" t="s">
        <v>259</v>
      </c>
      <c r="B93" s="195" t="s">
        <v>101</v>
      </c>
      <c r="C93" s="195">
        <v>10</v>
      </c>
      <c r="D93" s="196" t="s">
        <v>932</v>
      </c>
      <c r="E93" s="195"/>
      <c r="F93" s="571">
        <f t="shared" si="9"/>
        <v>2707710</v>
      </c>
      <c r="G93" s="571">
        <f t="shared" si="9"/>
        <v>2541699</v>
      </c>
    </row>
    <row r="94" spans="1:7" ht="38.25">
      <c r="A94" s="198" t="s">
        <v>494</v>
      </c>
      <c r="B94" s="195" t="s">
        <v>101</v>
      </c>
      <c r="C94" s="195">
        <v>10</v>
      </c>
      <c r="D94" s="196" t="s">
        <v>927</v>
      </c>
      <c r="E94" s="195" t="s">
        <v>87</v>
      </c>
      <c r="F94" s="571">
        <f>SUM(F95:F97)</f>
        <v>2707710</v>
      </c>
      <c r="G94" s="571">
        <f>SUM(G95:G97)</f>
        <v>2541699</v>
      </c>
    </row>
    <row r="95" spans="1:7" ht="79.5" customHeight="1">
      <c r="A95" s="5" t="s">
        <v>735</v>
      </c>
      <c r="B95" s="195" t="s">
        <v>101</v>
      </c>
      <c r="C95" s="195">
        <v>10</v>
      </c>
      <c r="D95" s="196" t="s">
        <v>927</v>
      </c>
      <c r="E95" s="195" t="s">
        <v>592</v>
      </c>
      <c r="F95" s="488">
        <v>2562144</v>
      </c>
      <c r="G95" s="488">
        <v>2405057</v>
      </c>
    </row>
    <row r="96" spans="1:7" ht="38.25">
      <c r="A96" s="5" t="s">
        <v>228</v>
      </c>
      <c r="B96" s="195" t="s">
        <v>101</v>
      </c>
      <c r="C96" s="195">
        <v>10</v>
      </c>
      <c r="D96" s="196" t="s">
        <v>927</v>
      </c>
      <c r="E96" s="195" t="s">
        <v>74</v>
      </c>
      <c r="F96" s="488">
        <f>46000+63026+35340</f>
        <v>144366</v>
      </c>
      <c r="G96" s="488">
        <f>43180+33173+59162</f>
        <v>135515</v>
      </c>
    </row>
    <row r="97" spans="1:7" ht="12.75">
      <c r="A97" s="193" t="s">
        <v>77</v>
      </c>
      <c r="B97" s="191" t="s">
        <v>101</v>
      </c>
      <c r="C97" s="191">
        <v>10</v>
      </c>
      <c r="D97" s="196" t="s">
        <v>927</v>
      </c>
      <c r="E97" s="191" t="s">
        <v>78</v>
      </c>
      <c r="F97" s="574">
        <v>1200</v>
      </c>
      <c r="G97" s="574">
        <v>1127</v>
      </c>
    </row>
    <row r="98" spans="1:7" ht="12.75">
      <c r="A98" s="174" t="s">
        <v>723</v>
      </c>
      <c r="B98" s="172" t="s">
        <v>533</v>
      </c>
      <c r="C98" s="216" t="s">
        <v>462</v>
      </c>
      <c r="D98" s="172" t="s">
        <v>87</v>
      </c>
      <c r="E98" s="172" t="s">
        <v>87</v>
      </c>
      <c r="F98" s="570">
        <f>F99+F116+F132+F110</f>
        <v>5980650.8</v>
      </c>
      <c r="G98" s="570">
        <f>G99+G116+G132+G110</f>
        <v>34358876.54</v>
      </c>
    </row>
    <row r="99" spans="1:7" ht="12.75">
      <c r="A99" s="214" t="s">
        <v>724</v>
      </c>
      <c r="B99" s="213" t="s">
        <v>533</v>
      </c>
      <c r="C99" s="213" t="s">
        <v>530</v>
      </c>
      <c r="D99" s="213" t="s">
        <v>87</v>
      </c>
      <c r="E99" s="213" t="s">
        <v>87</v>
      </c>
      <c r="F99" s="571">
        <f>F100</f>
        <v>428121</v>
      </c>
      <c r="G99" s="571">
        <f>G100</f>
        <v>422394</v>
      </c>
    </row>
    <row r="100" spans="1:7" ht="40.5" customHeight="1">
      <c r="A100" s="211" t="s">
        <v>702</v>
      </c>
      <c r="B100" s="195" t="s">
        <v>533</v>
      </c>
      <c r="C100" s="195" t="s">
        <v>530</v>
      </c>
      <c r="D100" s="196" t="s">
        <v>21</v>
      </c>
      <c r="E100" s="195" t="s">
        <v>87</v>
      </c>
      <c r="F100" s="571">
        <f>F101+F105</f>
        <v>428121</v>
      </c>
      <c r="G100" s="571">
        <f>G101+G105</f>
        <v>422394</v>
      </c>
    </row>
    <row r="101" spans="1:7" ht="63" customHeight="1">
      <c r="A101" s="4" t="s">
        <v>584</v>
      </c>
      <c r="B101" s="195" t="s">
        <v>533</v>
      </c>
      <c r="C101" s="195" t="s">
        <v>530</v>
      </c>
      <c r="D101" s="196" t="s">
        <v>22</v>
      </c>
      <c r="E101" s="195"/>
      <c r="F101" s="571">
        <f aca="true" t="shared" si="10" ref="F101:G103">F102</f>
        <v>93421</v>
      </c>
      <c r="G101" s="571">
        <f t="shared" si="10"/>
        <v>87694</v>
      </c>
    </row>
    <row r="102" spans="1:7" ht="50.25" customHeight="1">
      <c r="A102" s="8" t="s">
        <v>514</v>
      </c>
      <c r="B102" s="195" t="s">
        <v>533</v>
      </c>
      <c r="C102" s="195" t="s">
        <v>530</v>
      </c>
      <c r="D102" s="196" t="s">
        <v>23</v>
      </c>
      <c r="E102" s="195"/>
      <c r="F102" s="571">
        <f t="shared" si="10"/>
        <v>93421</v>
      </c>
      <c r="G102" s="571">
        <f t="shared" si="10"/>
        <v>87694</v>
      </c>
    </row>
    <row r="103" spans="1:7" ht="25.5">
      <c r="A103" s="5" t="s">
        <v>701</v>
      </c>
      <c r="B103" s="195" t="s">
        <v>533</v>
      </c>
      <c r="C103" s="195" t="s">
        <v>530</v>
      </c>
      <c r="D103" s="196" t="s">
        <v>24</v>
      </c>
      <c r="E103" s="195"/>
      <c r="F103" s="571">
        <f t="shared" si="10"/>
        <v>93421</v>
      </c>
      <c r="G103" s="571">
        <f t="shared" si="10"/>
        <v>87694</v>
      </c>
    </row>
    <row r="104" spans="1:7" ht="39.75" customHeight="1">
      <c r="A104" s="5" t="s">
        <v>90</v>
      </c>
      <c r="B104" s="195" t="s">
        <v>533</v>
      </c>
      <c r="C104" s="195" t="s">
        <v>530</v>
      </c>
      <c r="D104" s="196" t="s">
        <v>24</v>
      </c>
      <c r="E104" s="195">
        <v>600</v>
      </c>
      <c r="F104" s="488">
        <v>93421</v>
      </c>
      <c r="G104" s="488">
        <v>87694</v>
      </c>
    </row>
    <row r="105" spans="1:7" ht="51">
      <c r="A105" s="4" t="s">
        <v>585</v>
      </c>
      <c r="B105" s="195" t="s">
        <v>533</v>
      </c>
      <c r="C105" s="195" t="s">
        <v>530</v>
      </c>
      <c r="D105" s="196" t="s">
        <v>26</v>
      </c>
      <c r="E105" s="195"/>
      <c r="F105" s="571">
        <f>F106</f>
        <v>334700</v>
      </c>
      <c r="G105" s="571">
        <f>G106</f>
        <v>334700</v>
      </c>
    </row>
    <row r="106" spans="1:7" ht="63.75">
      <c r="A106" s="7" t="s">
        <v>453</v>
      </c>
      <c r="B106" s="195" t="s">
        <v>533</v>
      </c>
      <c r="C106" s="195" t="s">
        <v>530</v>
      </c>
      <c r="D106" s="196" t="s">
        <v>27</v>
      </c>
      <c r="E106" s="195"/>
      <c r="F106" s="571">
        <f>F107</f>
        <v>334700</v>
      </c>
      <c r="G106" s="571">
        <f>G107</f>
        <v>334700</v>
      </c>
    </row>
    <row r="107" spans="1:7" ht="38.25">
      <c r="A107" s="198" t="s">
        <v>470</v>
      </c>
      <c r="B107" s="195" t="s">
        <v>533</v>
      </c>
      <c r="C107" s="195" t="s">
        <v>530</v>
      </c>
      <c r="D107" s="196" t="s">
        <v>28</v>
      </c>
      <c r="E107" s="209" t="s">
        <v>87</v>
      </c>
      <c r="F107" s="571">
        <f>SUM(F108:F109)</f>
        <v>334700</v>
      </c>
      <c r="G107" s="571">
        <f>SUM(G108:G109)</f>
        <v>334700</v>
      </c>
    </row>
    <row r="108" spans="1:7" ht="75" customHeight="1">
      <c r="A108" s="5" t="s">
        <v>735</v>
      </c>
      <c r="B108" s="195" t="s">
        <v>533</v>
      </c>
      <c r="C108" s="195" t="s">
        <v>530</v>
      </c>
      <c r="D108" s="196" t="s">
        <v>28</v>
      </c>
      <c r="E108" s="195">
        <v>100</v>
      </c>
      <c r="F108" s="488">
        <f>334700-3000</f>
        <v>331700</v>
      </c>
      <c r="G108" s="488">
        <f>334700-3000</f>
        <v>331700</v>
      </c>
    </row>
    <row r="109" spans="1:7" ht="23.25" customHeight="1">
      <c r="A109" s="193" t="s">
        <v>91</v>
      </c>
      <c r="B109" s="195" t="s">
        <v>533</v>
      </c>
      <c r="C109" s="195" t="s">
        <v>530</v>
      </c>
      <c r="D109" s="196" t="s">
        <v>28</v>
      </c>
      <c r="E109" s="195">
        <v>200</v>
      </c>
      <c r="F109" s="488">
        <v>3000</v>
      </c>
      <c r="G109" s="488">
        <v>3000</v>
      </c>
    </row>
    <row r="110" spans="1:7" ht="12.75">
      <c r="A110" s="152" t="s">
        <v>886</v>
      </c>
      <c r="B110" s="151" t="s">
        <v>533</v>
      </c>
      <c r="C110" s="151" t="s">
        <v>553</v>
      </c>
      <c r="D110" s="151"/>
      <c r="E110" s="151"/>
      <c r="F110" s="572">
        <f aca="true" t="shared" si="11" ref="F110:G114">F111</f>
        <v>1534576.8</v>
      </c>
      <c r="G110" s="572">
        <f t="shared" si="11"/>
        <v>0</v>
      </c>
    </row>
    <row r="111" spans="1:7" ht="23.25" customHeight="1">
      <c r="A111" s="150" t="s">
        <v>478</v>
      </c>
      <c r="B111" s="147" t="s">
        <v>533</v>
      </c>
      <c r="C111" s="147" t="s">
        <v>553</v>
      </c>
      <c r="D111" s="148" t="s">
        <v>890</v>
      </c>
      <c r="E111" s="147"/>
      <c r="F111" s="572">
        <f t="shared" si="11"/>
        <v>1534576.8</v>
      </c>
      <c r="G111" s="572">
        <f t="shared" si="11"/>
        <v>0</v>
      </c>
    </row>
    <row r="112" spans="1:7" ht="23.25" customHeight="1">
      <c r="A112" s="84" t="s">
        <v>887</v>
      </c>
      <c r="B112" s="147" t="s">
        <v>533</v>
      </c>
      <c r="C112" s="147" t="s">
        <v>553</v>
      </c>
      <c r="D112" s="148" t="s">
        <v>891</v>
      </c>
      <c r="E112" s="147"/>
      <c r="F112" s="572">
        <f t="shared" si="11"/>
        <v>1534576.8</v>
      </c>
      <c r="G112" s="572">
        <f t="shared" si="11"/>
        <v>0</v>
      </c>
    </row>
    <row r="113" spans="1:7" ht="23.25" customHeight="1">
      <c r="A113" s="159" t="s">
        <v>888</v>
      </c>
      <c r="B113" s="147" t="s">
        <v>533</v>
      </c>
      <c r="C113" s="147" t="s">
        <v>553</v>
      </c>
      <c r="D113" s="148" t="s">
        <v>892</v>
      </c>
      <c r="E113" s="147"/>
      <c r="F113" s="483">
        <f t="shared" si="11"/>
        <v>1534576.8</v>
      </c>
      <c r="G113" s="483">
        <f t="shared" si="11"/>
        <v>0</v>
      </c>
    </row>
    <row r="114" spans="1:7" ht="12.75">
      <c r="A114" s="159" t="s">
        <v>889</v>
      </c>
      <c r="B114" s="147" t="s">
        <v>533</v>
      </c>
      <c r="C114" s="147" t="s">
        <v>553</v>
      </c>
      <c r="D114" s="148" t="s">
        <v>893</v>
      </c>
      <c r="E114" s="147"/>
      <c r="F114" s="483">
        <f t="shared" si="11"/>
        <v>1534576.8</v>
      </c>
      <c r="G114" s="483">
        <f t="shared" si="11"/>
        <v>0</v>
      </c>
    </row>
    <row r="115" spans="1:7" ht="23.25" customHeight="1">
      <c r="A115" s="159" t="s">
        <v>228</v>
      </c>
      <c r="B115" s="147" t="s">
        <v>533</v>
      </c>
      <c r="C115" s="147" t="s">
        <v>553</v>
      </c>
      <c r="D115" s="148" t="s">
        <v>893</v>
      </c>
      <c r="E115" s="147" t="s">
        <v>74</v>
      </c>
      <c r="F115" s="483">
        <v>1534576.8</v>
      </c>
      <c r="G115" s="483"/>
    </row>
    <row r="116" spans="1:7" ht="12.75">
      <c r="A116" s="214" t="s">
        <v>86</v>
      </c>
      <c r="B116" s="213" t="s">
        <v>533</v>
      </c>
      <c r="C116" s="213" t="s">
        <v>102</v>
      </c>
      <c r="D116" s="212" t="s">
        <v>87</v>
      </c>
      <c r="E116" s="212" t="s">
        <v>87</v>
      </c>
      <c r="F116" s="571">
        <f>F117</f>
        <v>2927430</v>
      </c>
      <c r="G116" s="571">
        <f>G117</f>
        <v>33729970.54</v>
      </c>
    </row>
    <row r="117" spans="1:7" ht="80.25" customHeight="1">
      <c r="A117" s="211" t="s">
        <v>478</v>
      </c>
      <c r="B117" s="195" t="s">
        <v>533</v>
      </c>
      <c r="C117" s="195" t="s">
        <v>102</v>
      </c>
      <c r="D117" s="196" t="s">
        <v>29</v>
      </c>
      <c r="E117" s="209" t="s">
        <v>87</v>
      </c>
      <c r="F117" s="571">
        <f>F118+F128</f>
        <v>2927430</v>
      </c>
      <c r="G117" s="571">
        <f>G118+G128</f>
        <v>33729970.54</v>
      </c>
    </row>
    <row r="118" spans="1:7" ht="104.25" customHeight="1">
      <c r="A118" s="4" t="s">
        <v>47</v>
      </c>
      <c r="B118" s="195" t="s">
        <v>533</v>
      </c>
      <c r="C118" s="195" t="s">
        <v>102</v>
      </c>
      <c r="D118" s="199" t="s">
        <v>233</v>
      </c>
      <c r="E118" s="210" t="s">
        <v>87</v>
      </c>
      <c r="F118" s="571">
        <f>F119+F122+F125</f>
        <v>2727158</v>
      </c>
      <c r="G118" s="571">
        <f>G119+G122+G125</f>
        <v>33729970.54</v>
      </c>
    </row>
    <row r="119" spans="1:7" ht="38.25">
      <c r="A119" s="8" t="s">
        <v>232</v>
      </c>
      <c r="B119" s="195" t="s">
        <v>533</v>
      </c>
      <c r="C119" s="195" t="s">
        <v>102</v>
      </c>
      <c r="D119" s="196" t="s">
        <v>231</v>
      </c>
      <c r="E119" s="210"/>
      <c r="F119" s="571">
        <f>F120</f>
        <v>299728</v>
      </c>
      <c r="G119" s="571">
        <f>G120</f>
        <v>0</v>
      </c>
    </row>
    <row r="120" spans="1:7" ht="40.5" customHeight="1">
      <c r="A120" s="12" t="s">
        <v>31</v>
      </c>
      <c r="B120" s="195" t="s">
        <v>533</v>
      </c>
      <c r="C120" s="195" t="s">
        <v>102</v>
      </c>
      <c r="D120" s="196" t="s">
        <v>230</v>
      </c>
      <c r="E120" s="210"/>
      <c r="F120" s="571">
        <f>F121</f>
        <v>299728</v>
      </c>
      <c r="G120" s="571">
        <f>G121</f>
        <v>0</v>
      </c>
    </row>
    <row r="121" spans="1:7" ht="12.75">
      <c r="A121" s="5" t="s">
        <v>77</v>
      </c>
      <c r="B121" s="195" t="s">
        <v>533</v>
      </c>
      <c r="C121" s="195" t="s">
        <v>102</v>
      </c>
      <c r="D121" s="196" t="s">
        <v>230</v>
      </c>
      <c r="E121" s="198">
        <v>800</v>
      </c>
      <c r="F121" s="488">
        <f>500000-200272</f>
        <v>299728</v>
      </c>
      <c r="G121" s="488"/>
    </row>
    <row r="122" spans="1:7" ht="41.25" customHeight="1">
      <c r="A122" s="8" t="s">
        <v>229</v>
      </c>
      <c r="B122" s="195" t="s">
        <v>533</v>
      </c>
      <c r="C122" s="195" t="s">
        <v>102</v>
      </c>
      <c r="D122" s="196" t="s">
        <v>250</v>
      </c>
      <c r="E122" s="210"/>
      <c r="F122" s="571">
        <f>F123</f>
        <v>2427430</v>
      </c>
      <c r="G122" s="571">
        <f>G123</f>
        <v>33729970.54</v>
      </c>
    </row>
    <row r="123" spans="1:7" ht="49.5" customHeight="1">
      <c r="A123" s="49" t="s">
        <v>628</v>
      </c>
      <c r="B123" s="195" t="s">
        <v>533</v>
      </c>
      <c r="C123" s="195" t="s">
        <v>102</v>
      </c>
      <c r="D123" s="48" t="s">
        <v>627</v>
      </c>
      <c r="E123" s="195" t="s">
        <v>87</v>
      </c>
      <c r="F123" s="571">
        <f>F124</f>
        <v>2427430</v>
      </c>
      <c r="G123" s="571">
        <f>G124</f>
        <v>33729970.54</v>
      </c>
    </row>
    <row r="124" spans="1:7" ht="38.25">
      <c r="A124" s="5" t="s">
        <v>228</v>
      </c>
      <c r="B124" s="195" t="s">
        <v>533</v>
      </c>
      <c r="C124" s="195" t="s">
        <v>102</v>
      </c>
      <c r="D124" s="48" t="s">
        <v>627</v>
      </c>
      <c r="E124" s="195">
        <v>200</v>
      </c>
      <c r="F124" s="488">
        <v>2427430</v>
      </c>
      <c r="G124" s="488">
        <f>2499680+299728+200272+23655198.16+7075092.38</f>
        <v>33729970.54</v>
      </c>
    </row>
    <row r="125" spans="1:7" ht="51" hidden="1">
      <c r="A125" s="5" t="s">
        <v>65</v>
      </c>
      <c r="B125" s="195" t="s">
        <v>533</v>
      </c>
      <c r="C125" s="195" t="s">
        <v>102</v>
      </c>
      <c r="D125" s="196" t="s">
        <v>66</v>
      </c>
      <c r="E125" s="195"/>
      <c r="F125" s="571">
        <f>F126</f>
        <v>0</v>
      </c>
      <c r="G125" s="571">
        <f>G126</f>
        <v>0</v>
      </c>
    </row>
    <row r="126" spans="1:7" ht="36" hidden="1">
      <c r="A126" s="9" t="s">
        <v>744</v>
      </c>
      <c r="B126" s="195" t="s">
        <v>533</v>
      </c>
      <c r="C126" s="195" t="s">
        <v>102</v>
      </c>
      <c r="D126" s="196" t="s">
        <v>745</v>
      </c>
      <c r="E126" s="195"/>
      <c r="F126" s="571">
        <f>F127</f>
        <v>0</v>
      </c>
      <c r="G126" s="571">
        <f>G127</f>
        <v>0</v>
      </c>
    </row>
    <row r="127" spans="1:7" ht="38.25" hidden="1">
      <c r="A127" s="5" t="s">
        <v>221</v>
      </c>
      <c r="B127" s="195" t="s">
        <v>533</v>
      </c>
      <c r="C127" s="195" t="s">
        <v>102</v>
      </c>
      <c r="D127" s="196" t="s">
        <v>745</v>
      </c>
      <c r="E127" s="195">
        <v>400</v>
      </c>
      <c r="F127" s="488"/>
      <c r="G127" s="488"/>
    </row>
    <row r="128" spans="1:7" ht="102" customHeight="1">
      <c r="A128" s="4" t="s">
        <v>260</v>
      </c>
      <c r="B128" s="195" t="s">
        <v>533</v>
      </c>
      <c r="C128" s="195" t="s">
        <v>102</v>
      </c>
      <c r="D128" s="199" t="s">
        <v>30</v>
      </c>
      <c r="E128" s="195"/>
      <c r="F128" s="571">
        <f aca="true" t="shared" si="12" ref="F128:G130">F129</f>
        <v>200272</v>
      </c>
      <c r="G128" s="571">
        <f t="shared" si="12"/>
        <v>0</v>
      </c>
    </row>
    <row r="129" spans="1:7" ht="79.5" customHeight="1">
      <c r="A129" s="8" t="s">
        <v>99</v>
      </c>
      <c r="B129" s="195" t="s">
        <v>533</v>
      </c>
      <c r="C129" s="195" t="s">
        <v>102</v>
      </c>
      <c r="D129" s="196" t="s">
        <v>449</v>
      </c>
      <c r="E129" s="195"/>
      <c r="F129" s="571">
        <f t="shared" si="12"/>
        <v>200272</v>
      </c>
      <c r="G129" s="571">
        <f t="shared" si="12"/>
        <v>0</v>
      </c>
    </row>
    <row r="130" spans="1:7" ht="51">
      <c r="A130" s="12" t="s">
        <v>629</v>
      </c>
      <c r="B130" s="195" t="s">
        <v>533</v>
      </c>
      <c r="C130" s="195" t="s">
        <v>102</v>
      </c>
      <c r="D130" s="196" t="s">
        <v>347</v>
      </c>
      <c r="E130" s="195"/>
      <c r="F130" s="571">
        <f t="shared" si="12"/>
        <v>200272</v>
      </c>
      <c r="G130" s="571">
        <f t="shared" si="12"/>
        <v>0</v>
      </c>
    </row>
    <row r="131" spans="1:7" ht="12.75">
      <c r="A131" s="5" t="s">
        <v>77</v>
      </c>
      <c r="B131" s="195" t="s">
        <v>533</v>
      </c>
      <c r="C131" s="195" t="s">
        <v>102</v>
      </c>
      <c r="D131" s="196" t="s">
        <v>347</v>
      </c>
      <c r="E131" s="195">
        <v>800</v>
      </c>
      <c r="F131" s="488">
        <v>200272</v>
      </c>
      <c r="G131" s="488"/>
    </row>
    <row r="132" spans="1:7" ht="25.5">
      <c r="A132" s="4" t="s">
        <v>551</v>
      </c>
      <c r="B132" s="213" t="s">
        <v>533</v>
      </c>
      <c r="C132" s="213">
        <v>12</v>
      </c>
      <c r="D132" s="199"/>
      <c r="E132" s="213"/>
      <c r="F132" s="571">
        <f>F133+F137</f>
        <v>1090523</v>
      </c>
      <c r="G132" s="571">
        <f>G133+G137</f>
        <v>206512</v>
      </c>
    </row>
    <row r="133" spans="1:7" ht="51">
      <c r="A133" s="211" t="s">
        <v>48</v>
      </c>
      <c r="B133" s="195" t="s">
        <v>533</v>
      </c>
      <c r="C133" s="195">
        <v>12</v>
      </c>
      <c r="D133" s="196" t="s">
        <v>630</v>
      </c>
      <c r="E133" s="195"/>
      <c r="F133" s="571">
        <f aca="true" t="shared" si="13" ref="F133:G135">F134</f>
        <v>55000</v>
      </c>
      <c r="G133" s="571">
        <f t="shared" si="13"/>
        <v>18774</v>
      </c>
    </row>
    <row r="134" spans="1:7" ht="36">
      <c r="A134" s="9" t="s">
        <v>633</v>
      </c>
      <c r="B134" s="195" t="s">
        <v>533</v>
      </c>
      <c r="C134" s="195">
        <v>12</v>
      </c>
      <c r="D134" s="196" t="s">
        <v>632</v>
      </c>
      <c r="E134" s="195"/>
      <c r="F134" s="571">
        <f t="shared" si="13"/>
        <v>55000</v>
      </c>
      <c r="G134" s="571">
        <f t="shared" si="13"/>
        <v>18774</v>
      </c>
    </row>
    <row r="135" spans="1:7" ht="42.75" customHeight="1">
      <c r="A135" s="9" t="s">
        <v>631</v>
      </c>
      <c r="B135" s="195" t="s">
        <v>533</v>
      </c>
      <c r="C135" s="195">
        <v>12</v>
      </c>
      <c r="D135" s="196" t="s">
        <v>98</v>
      </c>
      <c r="E135" s="195"/>
      <c r="F135" s="571">
        <f t="shared" si="13"/>
        <v>55000</v>
      </c>
      <c r="G135" s="571">
        <f t="shared" si="13"/>
        <v>18774</v>
      </c>
    </row>
    <row r="136" spans="1:7" ht="12.75">
      <c r="A136" s="193" t="s">
        <v>77</v>
      </c>
      <c r="B136" s="191" t="s">
        <v>533</v>
      </c>
      <c r="C136" s="191">
        <v>12</v>
      </c>
      <c r="D136" s="192" t="s">
        <v>98</v>
      </c>
      <c r="E136" s="191">
        <v>200</v>
      </c>
      <c r="F136" s="574">
        <f>20000+35000</f>
        <v>55000</v>
      </c>
      <c r="G136" s="574">
        <v>18774</v>
      </c>
    </row>
    <row r="137" spans="1:7" ht="25.5">
      <c r="A137" s="88" t="s">
        <v>626</v>
      </c>
      <c r="B137" s="85" t="s">
        <v>533</v>
      </c>
      <c r="C137" s="85">
        <v>12</v>
      </c>
      <c r="D137" s="110" t="s">
        <v>14</v>
      </c>
      <c r="E137" s="85"/>
      <c r="F137" s="575">
        <f>F139+F141+F143</f>
        <v>1035523</v>
      </c>
      <c r="G137" s="575">
        <f>G139+G141+G143</f>
        <v>187738</v>
      </c>
    </row>
    <row r="138" spans="1:7" ht="24">
      <c r="A138" s="9" t="s">
        <v>636</v>
      </c>
      <c r="B138" s="195" t="s">
        <v>533</v>
      </c>
      <c r="C138" s="195">
        <v>12</v>
      </c>
      <c r="D138" s="196" t="s">
        <v>16</v>
      </c>
      <c r="E138" s="195"/>
      <c r="F138" s="571">
        <f>F139</f>
        <v>65000</v>
      </c>
      <c r="G138" s="571">
        <f>G139</f>
        <v>187738</v>
      </c>
    </row>
    <row r="139" spans="1:7" ht="36">
      <c r="A139" s="9" t="s">
        <v>96</v>
      </c>
      <c r="B139" s="195" t="s">
        <v>533</v>
      </c>
      <c r="C139" s="195">
        <v>12</v>
      </c>
      <c r="D139" s="196" t="s">
        <v>97</v>
      </c>
      <c r="E139" s="195"/>
      <c r="F139" s="571">
        <f>F140</f>
        <v>65000</v>
      </c>
      <c r="G139" s="571">
        <f>G140</f>
        <v>187738</v>
      </c>
    </row>
    <row r="140" spans="1:7" ht="36">
      <c r="A140" s="9" t="s">
        <v>228</v>
      </c>
      <c r="B140" s="195" t="s">
        <v>533</v>
      </c>
      <c r="C140" s="195">
        <v>12</v>
      </c>
      <c r="D140" s="196" t="s">
        <v>97</v>
      </c>
      <c r="E140" s="195">
        <v>200</v>
      </c>
      <c r="F140" s="571">
        <f>200000-100000-35000</f>
        <v>65000</v>
      </c>
      <c r="G140" s="571">
        <v>187738</v>
      </c>
    </row>
    <row r="141" spans="1:7" ht="36.75" customHeight="1">
      <c r="A141" s="398" t="s">
        <v>905</v>
      </c>
      <c r="B141" s="147" t="s">
        <v>533</v>
      </c>
      <c r="C141" s="147">
        <v>12</v>
      </c>
      <c r="D141" s="196" t="s">
        <v>906</v>
      </c>
      <c r="E141" s="195"/>
      <c r="F141" s="571">
        <f>F142</f>
        <v>291157</v>
      </c>
      <c r="G141" s="571">
        <f>G142</f>
        <v>0</v>
      </c>
    </row>
    <row r="142" spans="1:7" ht="36">
      <c r="A142" s="336" t="s">
        <v>228</v>
      </c>
      <c r="B142" s="147" t="s">
        <v>533</v>
      </c>
      <c r="C142" s="147">
        <v>12</v>
      </c>
      <c r="D142" s="196" t="s">
        <v>906</v>
      </c>
      <c r="E142" s="195">
        <v>200</v>
      </c>
      <c r="F142" s="571">
        <v>291157</v>
      </c>
      <c r="G142" s="571"/>
    </row>
    <row r="143" spans="1:7" ht="40.5" customHeight="1">
      <c r="A143" s="398" t="s">
        <v>905</v>
      </c>
      <c r="B143" s="147" t="s">
        <v>533</v>
      </c>
      <c r="C143" s="147">
        <v>12</v>
      </c>
      <c r="D143" s="196" t="s">
        <v>907</v>
      </c>
      <c r="E143" s="195"/>
      <c r="F143" s="571">
        <f>F144</f>
        <v>679366</v>
      </c>
      <c r="G143" s="571">
        <f>G144</f>
        <v>0</v>
      </c>
    </row>
    <row r="144" spans="1:7" ht="36">
      <c r="A144" s="336" t="s">
        <v>228</v>
      </c>
      <c r="B144" s="147" t="s">
        <v>533</v>
      </c>
      <c r="C144" s="147">
        <v>12</v>
      </c>
      <c r="D144" s="366" t="s">
        <v>907</v>
      </c>
      <c r="E144" s="128">
        <v>200</v>
      </c>
      <c r="F144" s="488">
        <v>679366</v>
      </c>
      <c r="G144" s="575"/>
    </row>
    <row r="145" spans="1:7" ht="12.75">
      <c r="A145" s="174" t="s">
        <v>538</v>
      </c>
      <c r="B145" s="172" t="s">
        <v>653</v>
      </c>
      <c r="C145" s="216" t="s">
        <v>462</v>
      </c>
      <c r="D145" s="172" t="s">
        <v>87</v>
      </c>
      <c r="E145" s="172" t="s">
        <v>87</v>
      </c>
      <c r="F145" s="570">
        <f>F146+F160</f>
        <v>11778119.2</v>
      </c>
      <c r="G145" s="570">
        <f>G146+G160</f>
        <v>10074167.84</v>
      </c>
    </row>
    <row r="146" spans="1:7" ht="12.75">
      <c r="A146" s="214" t="s">
        <v>235</v>
      </c>
      <c r="B146" s="213" t="s">
        <v>653</v>
      </c>
      <c r="C146" s="228" t="s">
        <v>530</v>
      </c>
      <c r="D146" s="227"/>
      <c r="E146" s="227"/>
      <c r="F146" s="571">
        <f>F147</f>
        <v>684000</v>
      </c>
      <c r="G146" s="571">
        <f>G147</f>
        <v>288308</v>
      </c>
    </row>
    <row r="147" spans="1:7" ht="63.75">
      <c r="A147" s="211" t="s">
        <v>479</v>
      </c>
      <c r="B147" s="195" t="s">
        <v>653</v>
      </c>
      <c r="C147" s="223" t="s">
        <v>530</v>
      </c>
      <c r="D147" s="196" t="s">
        <v>32</v>
      </c>
      <c r="E147" s="227"/>
      <c r="F147" s="571">
        <f>F148+F156</f>
        <v>684000</v>
      </c>
      <c r="G147" s="571">
        <f>G148+G156</f>
        <v>288308</v>
      </c>
    </row>
    <row r="148" spans="1:7" ht="114.75" hidden="1">
      <c r="A148" s="4" t="s">
        <v>215</v>
      </c>
      <c r="B148" s="195" t="s">
        <v>653</v>
      </c>
      <c r="C148" s="223" t="s">
        <v>530</v>
      </c>
      <c r="D148" s="196" t="s">
        <v>216</v>
      </c>
      <c r="E148" s="227"/>
      <c r="F148" s="571">
        <f>F149</f>
        <v>0</v>
      </c>
      <c r="G148" s="571">
        <f>G149</f>
        <v>0</v>
      </c>
    </row>
    <row r="149" spans="1:7" ht="38.25" hidden="1">
      <c r="A149" s="308" t="s">
        <v>749</v>
      </c>
      <c r="B149" s="195" t="s">
        <v>653</v>
      </c>
      <c r="C149" s="223" t="s">
        <v>530</v>
      </c>
      <c r="D149" s="196" t="s">
        <v>64</v>
      </c>
      <c r="E149" s="227"/>
      <c r="F149" s="571">
        <f>F150+F152+F154</f>
        <v>0</v>
      </c>
      <c r="G149" s="571">
        <f>G154</f>
        <v>0</v>
      </c>
    </row>
    <row r="150" spans="1:7" ht="51" hidden="1">
      <c r="A150" s="308" t="s">
        <v>92</v>
      </c>
      <c r="B150" s="195" t="s">
        <v>653</v>
      </c>
      <c r="C150" s="223" t="s">
        <v>530</v>
      </c>
      <c r="D150" s="196" t="s">
        <v>705</v>
      </c>
      <c r="E150" s="227"/>
      <c r="F150" s="571">
        <f>F151</f>
        <v>0</v>
      </c>
      <c r="G150" s="571"/>
    </row>
    <row r="151" spans="1:7" ht="38.25" hidden="1">
      <c r="A151" s="5" t="s">
        <v>221</v>
      </c>
      <c r="B151" s="195" t="s">
        <v>653</v>
      </c>
      <c r="C151" s="223" t="s">
        <v>530</v>
      </c>
      <c r="D151" s="196" t="s">
        <v>705</v>
      </c>
      <c r="E151" s="195">
        <v>400</v>
      </c>
      <c r="F151" s="571"/>
      <c r="G151" s="571"/>
    </row>
    <row r="152" spans="1:7" ht="38.25" hidden="1">
      <c r="A152" s="308" t="s">
        <v>93</v>
      </c>
      <c r="B152" s="195" t="s">
        <v>653</v>
      </c>
      <c r="C152" s="223" t="s">
        <v>530</v>
      </c>
      <c r="D152" s="196" t="s">
        <v>706</v>
      </c>
      <c r="E152" s="227"/>
      <c r="F152" s="571">
        <f>F153</f>
        <v>0</v>
      </c>
      <c r="G152" s="571"/>
    </row>
    <row r="153" spans="1:7" ht="38.25" hidden="1">
      <c r="A153" s="5" t="s">
        <v>221</v>
      </c>
      <c r="B153" s="195" t="s">
        <v>653</v>
      </c>
      <c r="C153" s="223" t="s">
        <v>530</v>
      </c>
      <c r="D153" s="196" t="s">
        <v>706</v>
      </c>
      <c r="E153" s="195">
        <v>400</v>
      </c>
      <c r="F153" s="571"/>
      <c r="G153" s="571"/>
    </row>
    <row r="154" spans="1:7" ht="115.5" customHeight="1" hidden="1">
      <c r="A154" s="309" t="s">
        <v>67</v>
      </c>
      <c r="B154" s="195" t="s">
        <v>653</v>
      </c>
      <c r="C154" s="223" t="s">
        <v>530</v>
      </c>
      <c r="D154" s="196" t="s">
        <v>292</v>
      </c>
      <c r="E154" s="227"/>
      <c r="F154" s="571">
        <f>F155</f>
        <v>0</v>
      </c>
      <c r="G154" s="571">
        <f>G155</f>
        <v>0</v>
      </c>
    </row>
    <row r="155" spans="1:7" ht="38.25" hidden="1">
      <c r="A155" s="5" t="s">
        <v>221</v>
      </c>
      <c r="B155" s="195" t="s">
        <v>653</v>
      </c>
      <c r="C155" s="223" t="s">
        <v>530</v>
      </c>
      <c r="D155" s="196" t="s">
        <v>292</v>
      </c>
      <c r="E155" s="195">
        <v>400</v>
      </c>
      <c r="F155" s="488"/>
      <c r="G155" s="488"/>
    </row>
    <row r="156" spans="1:7" ht="102">
      <c r="A156" s="4" t="s">
        <v>480</v>
      </c>
      <c r="B156" s="195" t="s">
        <v>653</v>
      </c>
      <c r="C156" s="223" t="s">
        <v>530</v>
      </c>
      <c r="D156" s="199" t="s">
        <v>556</v>
      </c>
      <c r="E156" s="227"/>
      <c r="F156" s="571">
        <f>F157</f>
        <v>684000</v>
      </c>
      <c r="G156" s="571">
        <f>G157</f>
        <v>288308</v>
      </c>
    </row>
    <row r="157" spans="1:7" ht="38.25">
      <c r="A157" s="7" t="s">
        <v>234</v>
      </c>
      <c r="B157" s="195" t="s">
        <v>653</v>
      </c>
      <c r="C157" s="223" t="s">
        <v>530</v>
      </c>
      <c r="D157" s="196" t="s">
        <v>267</v>
      </c>
      <c r="E157" s="227"/>
      <c r="F157" s="571">
        <f>F158</f>
        <v>684000</v>
      </c>
      <c r="G157" s="571">
        <f>G158</f>
        <v>288308</v>
      </c>
    </row>
    <row r="158" spans="1:7" ht="24">
      <c r="A158" s="9" t="s">
        <v>266</v>
      </c>
      <c r="B158" s="195" t="s">
        <v>653</v>
      </c>
      <c r="C158" s="223" t="s">
        <v>530</v>
      </c>
      <c r="D158" s="196" t="s">
        <v>265</v>
      </c>
      <c r="E158" s="227"/>
      <c r="F158" s="571">
        <f>SUM(F159:F159)</f>
        <v>684000</v>
      </c>
      <c r="G158" s="571">
        <f>SUM(G159:G159)</f>
        <v>288308</v>
      </c>
    </row>
    <row r="159" spans="1:7" ht="38.25">
      <c r="A159" s="5" t="s">
        <v>228</v>
      </c>
      <c r="B159" s="195" t="s">
        <v>653</v>
      </c>
      <c r="C159" s="223" t="s">
        <v>530</v>
      </c>
      <c r="D159" s="196" t="s">
        <v>265</v>
      </c>
      <c r="E159" s="195">
        <v>200</v>
      </c>
      <c r="F159" s="488">
        <v>684000</v>
      </c>
      <c r="G159" s="488">
        <f>642063-353755</f>
        <v>288308</v>
      </c>
    </row>
    <row r="160" spans="1:7" ht="12.75">
      <c r="A160" s="214" t="s">
        <v>560</v>
      </c>
      <c r="B160" s="213" t="s">
        <v>653</v>
      </c>
      <c r="C160" s="213" t="s">
        <v>101</v>
      </c>
      <c r="D160" s="213" t="s">
        <v>87</v>
      </c>
      <c r="E160" s="213" t="s">
        <v>87</v>
      </c>
      <c r="F160" s="571">
        <f>F161+F167</f>
        <v>11094119.2</v>
      </c>
      <c r="G160" s="571">
        <f>G161+G167</f>
        <v>9785859.84</v>
      </c>
    </row>
    <row r="161" spans="1:7" ht="63.75">
      <c r="A161" s="211" t="s">
        <v>479</v>
      </c>
      <c r="B161" s="195" t="s">
        <v>653</v>
      </c>
      <c r="C161" s="195" t="s">
        <v>101</v>
      </c>
      <c r="D161" s="196" t="s">
        <v>32</v>
      </c>
      <c r="E161" s="195" t="s">
        <v>87</v>
      </c>
      <c r="F161" s="571">
        <f aca="true" t="shared" si="14" ref="F161:G163">F162</f>
        <v>5565232.2</v>
      </c>
      <c r="G161" s="571">
        <f t="shared" si="14"/>
        <v>3701671.84</v>
      </c>
    </row>
    <row r="162" spans="1:7" ht="102">
      <c r="A162" s="4" t="s">
        <v>480</v>
      </c>
      <c r="B162" s="195" t="s">
        <v>653</v>
      </c>
      <c r="C162" s="195" t="s">
        <v>101</v>
      </c>
      <c r="D162" s="199" t="s">
        <v>556</v>
      </c>
      <c r="E162" s="198" t="s">
        <v>87</v>
      </c>
      <c r="F162" s="571">
        <f t="shared" si="14"/>
        <v>5565232.2</v>
      </c>
      <c r="G162" s="571">
        <f t="shared" si="14"/>
        <v>3701671.84</v>
      </c>
    </row>
    <row r="163" spans="1:7" ht="38.25">
      <c r="A163" s="7" t="s">
        <v>353</v>
      </c>
      <c r="B163" s="195" t="s">
        <v>653</v>
      </c>
      <c r="C163" s="195" t="s">
        <v>101</v>
      </c>
      <c r="D163" s="196" t="s">
        <v>454</v>
      </c>
      <c r="E163" s="198"/>
      <c r="F163" s="571">
        <f t="shared" si="14"/>
        <v>5565232.2</v>
      </c>
      <c r="G163" s="571">
        <f t="shared" si="14"/>
        <v>3701671.84</v>
      </c>
    </row>
    <row r="164" spans="1:7" ht="12.75">
      <c r="A164" s="12" t="s">
        <v>732</v>
      </c>
      <c r="B164" s="195" t="s">
        <v>653</v>
      </c>
      <c r="C164" s="195" t="s">
        <v>101</v>
      </c>
      <c r="D164" s="196" t="s">
        <v>455</v>
      </c>
      <c r="E164" s="195" t="s">
        <v>87</v>
      </c>
      <c r="F164" s="571">
        <f>SUM(F165:F166)</f>
        <v>5565232.2</v>
      </c>
      <c r="G164" s="571">
        <f>SUM(G165:G166)</f>
        <v>3701671.84</v>
      </c>
    </row>
    <row r="165" spans="1:7" ht="38.25">
      <c r="A165" s="5" t="s">
        <v>228</v>
      </c>
      <c r="B165" s="195" t="s">
        <v>653</v>
      </c>
      <c r="C165" s="195" t="s">
        <v>101</v>
      </c>
      <c r="D165" s="196" t="s">
        <v>455</v>
      </c>
      <c r="E165" s="195">
        <v>200</v>
      </c>
      <c r="F165" s="488">
        <v>2467763</v>
      </c>
      <c r="G165" s="488">
        <v>2316462</v>
      </c>
    </row>
    <row r="166" spans="1:7" ht="12.75">
      <c r="A166" s="5" t="s">
        <v>77</v>
      </c>
      <c r="B166" s="195" t="s">
        <v>653</v>
      </c>
      <c r="C166" s="195" t="s">
        <v>101</v>
      </c>
      <c r="D166" s="196" t="s">
        <v>455</v>
      </c>
      <c r="E166" s="195">
        <v>800</v>
      </c>
      <c r="F166" s="488">
        <f>4632046-1534576.8</f>
        <v>3097469.2</v>
      </c>
      <c r="G166" s="488">
        <v>1385209.84</v>
      </c>
    </row>
    <row r="167" spans="1:7" ht="63.75">
      <c r="A167" s="211" t="s">
        <v>475</v>
      </c>
      <c r="B167" s="195" t="s">
        <v>653</v>
      </c>
      <c r="C167" s="195" t="s">
        <v>101</v>
      </c>
      <c r="D167" s="196" t="s">
        <v>638</v>
      </c>
      <c r="E167" s="195"/>
      <c r="F167" s="571">
        <f aca="true" t="shared" si="15" ref="F167:G169">F168</f>
        <v>5528887</v>
      </c>
      <c r="G167" s="571">
        <f t="shared" si="15"/>
        <v>6084188</v>
      </c>
    </row>
    <row r="168" spans="1:7" ht="27.75" customHeight="1">
      <c r="A168" s="7" t="s">
        <v>709</v>
      </c>
      <c r="B168" s="195" t="s">
        <v>653</v>
      </c>
      <c r="C168" s="195" t="s">
        <v>101</v>
      </c>
      <c r="D168" s="196" t="s">
        <v>336</v>
      </c>
      <c r="E168" s="195"/>
      <c r="F168" s="571">
        <f t="shared" si="15"/>
        <v>5528887</v>
      </c>
      <c r="G168" s="571">
        <f t="shared" si="15"/>
        <v>6084188</v>
      </c>
    </row>
    <row r="169" spans="1:7" ht="25.5">
      <c r="A169" s="310" t="s">
        <v>338</v>
      </c>
      <c r="B169" s="195" t="s">
        <v>653</v>
      </c>
      <c r="C169" s="195" t="s">
        <v>101</v>
      </c>
      <c r="D169" s="196" t="s">
        <v>337</v>
      </c>
      <c r="E169" s="195"/>
      <c r="F169" s="571">
        <f t="shared" si="15"/>
        <v>5528887</v>
      </c>
      <c r="G169" s="571">
        <f t="shared" si="15"/>
        <v>6084188</v>
      </c>
    </row>
    <row r="170" spans="1:7" ht="38.25">
      <c r="A170" s="193" t="s">
        <v>228</v>
      </c>
      <c r="B170" s="191" t="s">
        <v>653</v>
      </c>
      <c r="C170" s="191" t="s">
        <v>101</v>
      </c>
      <c r="D170" s="192" t="s">
        <v>337</v>
      </c>
      <c r="E170" s="191">
        <v>200</v>
      </c>
      <c r="F170" s="574">
        <f>500000+5028887</f>
        <v>5528887</v>
      </c>
      <c r="G170" s="574">
        <f>500000+5584188</f>
        <v>6084188</v>
      </c>
    </row>
    <row r="171" spans="1:7" ht="12.75">
      <c r="A171" s="174" t="s">
        <v>561</v>
      </c>
      <c r="B171" s="172" t="s">
        <v>654</v>
      </c>
      <c r="C171" s="216" t="s">
        <v>462</v>
      </c>
      <c r="D171" s="172" t="s">
        <v>87</v>
      </c>
      <c r="E171" s="172" t="s">
        <v>87</v>
      </c>
      <c r="F171" s="570">
        <f>F172+F183+F219+F225+F238</f>
        <v>310455132</v>
      </c>
      <c r="G171" s="570">
        <f>G172+G183+G219+G225+G238</f>
        <v>242254600</v>
      </c>
    </row>
    <row r="172" spans="1:7" ht="12.75">
      <c r="A172" s="214" t="s">
        <v>562</v>
      </c>
      <c r="B172" s="213" t="s">
        <v>654</v>
      </c>
      <c r="C172" s="213" t="s">
        <v>530</v>
      </c>
      <c r="D172" s="213" t="s">
        <v>87</v>
      </c>
      <c r="E172" s="213" t="s">
        <v>87</v>
      </c>
      <c r="F172" s="571">
        <f aca="true" t="shared" si="16" ref="F172:G174">F173</f>
        <v>92601566</v>
      </c>
      <c r="G172" s="571">
        <f t="shared" si="16"/>
        <v>90778726</v>
      </c>
    </row>
    <row r="173" spans="1:7" ht="37.5" customHeight="1">
      <c r="A173" s="211" t="s">
        <v>277</v>
      </c>
      <c r="B173" s="195" t="s">
        <v>654</v>
      </c>
      <c r="C173" s="195" t="s">
        <v>530</v>
      </c>
      <c r="D173" s="196" t="s">
        <v>557</v>
      </c>
      <c r="E173" s="195" t="s">
        <v>87</v>
      </c>
      <c r="F173" s="571">
        <f t="shared" si="16"/>
        <v>92601566</v>
      </c>
      <c r="G173" s="571">
        <f t="shared" si="16"/>
        <v>90778726</v>
      </c>
    </row>
    <row r="174" spans="1:7" ht="54.75" customHeight="1">
      <c r="A174" s="4" t="s">
        <v>278</v>
      </c>
      <c r="B174" s="195" t="s">
        <v>654</v>
      </c>
      <c r="C174" s="195" t="s">
        <v>530</v>
      </c>
      <c r="D174" s="199" t="s">
        <v>558</v>
      </c>
      <c r="E174" s="198" t="s">
        <v>87</v>
      </c>
      <c r="F174" s="571">
        <f t="shared" si="16"/>
        <v>92601566</v>
      </c>
      <c r="G174" s="571">
        <f t="shared" si="16"/>
        <v>90778726</v>
      </c>
    </row>
    <row r="175" spans="1:7" ht="25.5">
      <c r="A175" s="7" t="s">
        <v>456</v>
      </c>
      <c r="B175" s="195" t="s">
        <v>654</v>
      </c>
      <c r="C175" s="195" t="s">
        <v>530</v>
      </c>
      <c r="D175" s="196" t="s">
        <v>559</v>
      </c>
      <c r="E175" s="198"/>
      <c r="F175" s="571">
        <f>F176+F179</f>
        <v>92601566</v>
      </c>
      <c r="G175" s="571">
        <f>G176+G179</f>
        <v>90778726</v>
      </c>
    </row>
    <row r="176" spans="1:7" ht="118.5" customHeight="1">
      <c r="A176" s="5" t="s">
        <v>298</v>
      </c>
      <c r="B176" s="195" t="s">
        <v>654</v>
      </c>
      <c r="C176" s="195" t="s">
        <v>530</v>
      </c>
      <c r="D176" s="196" t="s">
        <v>299</v>
      </c>
      <c r="E176" s="195" t="s">
        <v>87</v>
      </c>
      <c r="F176" s="571">
        <f>SUM(F177:F178)</f>
        <v>55488082</v>
      </c>
      <c r="G176" s="571">
        <f>SUM(G177:G178)</f>
        <v>55488082</v>
      </c>
    </row>
    <row r="177" spans="1:7" ht="81" customHeight="1">
      <c r="A177" s="5" t="s">
        <v>735</v>
      </c>
      <c r="B177" s="195" t="s">
        <v>654</v>
      </c>
      <c r="C177" s="195" t="s">
        <v>530</v>
      </c>
      <c r="D177" s="196" t="s">
        <v>299</v>
      </c>
      <c r="E177" s="195" t="s">
        <v>592</v>
      </c>
      <c r="F177" s="488">
        <v>55063202</v>
      </c>
      <c r="G177" s="488">
        <v>55063202</v>
      </c>
    </row>
    <row r="178" spans="1:7" ht="38.25">
      <c r="A178" s="5" t="s">
        <v>228</v>
      </c>
      <c r="B178" s="195" t="s">
        <v>654</v>
      </c>
      <c r="C178" s="195" t="s">
        <v>530</v>
      </c>
      <c r="D178" s="196" t="s">
        <v>299</v>
      </c>
      <c r="E178" s="195" t="s">
        <v>74</v>
      </c>
      <c r="F178" s="488">
        <v>424880</v>
      </c>
      <c r="G178" s="488">
        <v>424880</v>
      </c>
    </row>
    <row r="179" spans="1:7" ht="38.25">
      <c r="A179" s="198" t="s">
        <v>494</v>
      </c>
      <c r="B179" s="195" t="s">
        <v>654</v>
      </c>
      <c r="C179" s="195" t="s">
        <v>530</v>
      </c>
      <c r="D179" s="196" t="s">
        <v>300</v>
      </c>
      <c r="E179" s="195"/>
      <c r="F179" s="571">
        <f>SUM(F180:F182)</f>
        <v>37113484</v>
      </c>
      <c r="G179" s="571">
        <f>SUM(G180:G182)</f>
        <v>35290644</v>
      </c>
    </row>
    <row r="180" spans="1:7" ht="78.75" customHeight="1">
      <c r="A180" s="5" t="s">
        <v>735</v>
      </c>
      <c r="B180" s="195" t="s">
        <v>654</v>
      </c>
      <c r="C180" s="195" t="s">
        <v>530</v>
      </c>
      <c r="D180" s="196" t="s">
        <v>300</v>
      </c>
      <c r="E180" s="195">
        <v>100</v>
      </c>
      <c r="F180" s="488">
        <v>18466929</v>
      </c>
      <c r="G180" s="488">
        <v>17334708</v>
      </c>
    </row>
    <row r="181" spans="1:7" ht="38.25">
      <c r="A181" s="5" t="s">
        <v>228</v>
      </c>
      <c r="B181" s="195" t="s">
        <v>654</v>
      </c>
      <c r="C181" s="195" t="s">
        <v>530</v>
      </c>
      <c r="D181" s="196" t="s">
        <v>300</v>
      </c>
      <c r="E181" s="195">
        <v>200</v>
      </c>
      <c r="F181" s="488">
        <f>180000+150000+5087878+200000+196000+60648+2195748+914146+7382304</f>
        <v>16366724</v>
      </c>
      <c r="G181" s="488">
        <v>15815883</v>
      </c>
    </row>
    <row r="182" spans="1:7" ht="12.75">
      <c r="A182" s="5" t="s">
        <v>77</v>
      </c>
      <c r="B182" s="195" t="s">
        <v>654</v>
      </c>
      <c r="C182" s="195" t="s">
        <v>530</v>
      </c>
      <c r="D182" s="196" t="s">
        <v>300</v>
      </c>
      <c r="E182" s="195">
        <v>800</v>
      </c>
      <c r="F182" s="488">
        <v>2279831</v>
      </c>
      <c r="G182" s="488">
        <v>2140053</v>
      </c>
    </row>
    <row r="183" spans="1:7" ht="12.75">
      <c r="A183" s="214" t="s">
        <v>563</v>
      </c>
      <c r="B183" s="213" t="s">
        <v>654</v>
      </c>
      <c r="C183" s="213" t="s">
        <v>532</v>
      </c>
      <c r="D183" s="213" t="s">
        <v>87</v>
      </c>
      <c r="E183" s="213" t="s">
        <v>87</v>
      </c>
      <c r="F183" s="571">
        <f>F184</f>
        <v>190125107</v>
      </c>
      <c r="G183" s="571">
        <f>G184</f>
        <v>124100230</v>
      </c>
    </row>
    <row r="184" spans="1:7" ht="39.75" customHeight="1">
      <c r="A184" s="211" t="s">
        <v>279</v>
      </c>
      <c r="B184" s="195" t="s">
        <v>654</v>
      </c>
      <c r="C184" s="195" t="s">
        <v>532</v>
      </c>
      <c r="D184" s="196" t="s">
        <v>557</v>
      </c>
      <c r="E184" s="195" t="s">
        <v>87</v>
      </c>
      <c r="F184" s="571">
        <f>F185</f>
        <v>190125107</v>
      </c>
      <c r="G184" s="571">
        <f>G185</f>
        <v>124100230</v>
      </c>
    </row>
    <row r="185" spans="1:7" ht="54" customHeight="1">
      <c r="A185" s="4" t="s">
        <v>278</v>
      </c>
      <c r="B185" s="195" t="s">
        <v>654</v>
      </c>
      <c r="C185" s="195" t="s">
        <v>532</v>
      </c>
      <c r="D185" s="196" t="s">
        <v>558</v>
      </c>
      <c r="E185" s="198" t="s">
        <v>87</v>
      </c>
      <c r="F185" s="571">
        <f>F186+F193+F211+F214+F204</f>
        <v>190125107</v>
      </c>
      <c r="G185" s="571">
        <f>G186+G193+G211+G214</f>
        <v>124100230</v>
      </c>
    </row>
    <row r="186" spans="1:7" ht="27.75" customHeight="1">
      <c r="A186" s="7" t="s">
        <v>458</v>
      </c>
      <c r="B186" s="195" t="s">
        <v>654</v>
      </c>
      <c r="C186" s="195" t="s">
        <v>532</v>
      </c>
      <c r="D186" s="196" t="s">
        <v>301</v>
      </c>
      <c r="E186" s="198"/>
      <c r="F186" s="571">
        <f>F187+F189+F191</f>
        <v>115240939</v>
      </c>
      <c r="G186" s="571">
        <f>G187+G189+G191</f>
        <v>114416531</v>
      </c>
    </row>
    <row r="187" spans="1:7" ht="141.75" customHeight="1">
      <c r="A187" s="5" t="s">
        <v>681</v>
      </c>
      <c r="B187" s="195" t="s">
        <v>654</v>
      </c>
      <c r="C187" s="195" t="s">
        <v>532</v>
      </c>
      <c r="D187" s="196" t="s">
        <v>302</v>
      </c>
      <c r="E187" s="195" t="s">
        <v>87</v>
      </c>
      <c r="F187" s="571">
        <f>F188</f>
        <v>96274514</v>
      </c>
      <c r="G187" s="571">
        <f>G188</f>
        <v>96274514</v>
      </c>
    </row>
    <row r="188" spans="1:7" ht="39" customHeight="1">
      <c r="A188" s="5" t="s">
        <v>90</v>
      </c>
      <c r="B188" s="195" t="s">
        <v>654</v>
      </c>
      <c r="C188" s="195" t="s">
        <v>532</v>
      </c>
      <c r="D188" s="196" t="s">
        <v>302</v>
      </c>
      <c r="E188" s="195">
        <v>600</v>
      </c>
      <c r="F188" s="488">
        <v>96274514</v>
      </c>
      <c r="G188" s="488">
        <v>96274514</v>
      </c>
    </row>
    <row r="189" spans="1:7" ht="41.25" customHeight="1">
      <c r="A189" s="198" t="s">
        <v>494</v>
      </c>
      <c r="B189" s="195" t="s">
        <v>654</v>
      </c>
      <c r="C189" s="195" t="s">
        <v>532</v>
      </c>
      <c r="D189" s="196" t="s">
        <v>303</v>
      </c>
      <c r="E189" s="195"/>
      <c r="F189" s="571">
        <f>F190</f>
        <v>12467788</v>
      </c>
      <c r="G189" s="571">
        <f>G190</f>
        <v>11703379</v>
      </c>
    </row>
    <row r="190" spans="1:7" ht="44.25" customHeight="1">
      <c r="A190" s="5" t="s">
        <v>90</v>
      </c>
      <c r="B190" s="195" t="s">
        <v>654</v>
      </c>
      <c r="C190" s="195" t="s">
        <v>532</v>
      </c>
      <c r="D190" s="196" t="s">
        <v>303</v>
      </c>
      <c r="E190" s="195">
        <v>600</v>
      </c>
      <c r="F190" s="488">
        <v>12467788</v>
      </c>
      <c r="G190" s="488">
        <v>11703379</v>
      </c>
    </row>
    <row r="191" spans="1:7" ht="56.25" customHeight="1">
      <c r="A191" s="5" t="s">
        <v>509</v>
      </c>
      <c r="B191" s="195" t="s">
        <v>654</v>
      </c>
      <c r="C191" s="195" t="s">
        <v>532</v>
      </c>
      <c r="D191" s="196" t="s">
        <v>957</v>
      </c>
      <c r="E191" s="195"/>
      <c r="F191" s="488">
        <f>F192</f>
        <v>6498637</v>
      </c>
      <c r="G191" s="488">
        <f>G192</f>
        <v>6438638</v>
      </c>
    </row>
    <row r="192" spans="1:7" ht="44.25" customHeight="1">
      <c r="A192" s="5" t="s">
        <v>90</v>
      </c>
      <c r="B192" s="195" t="s">
        <v>654</v>
      </c>
      <c r="C192" s="195" t="s">
        <v>532</v>
      </c>
      <c r="D192" s="196" t="s">
        <v>957</v>
      </c>
      <c r="E192" s="195">
        <v>600</v>
      </c>
      <c r="F192" s="488">
        <v>6498637</v>
      </c>
      <c r="G192" s="488">
        <v>6438638</v>
      </c>
    </row>
    <row r="193" spans="1:7" ht="25.5">
      <c r="A193" s="7" t="s">
        <v>459</v>
      </c>
      <c r="B193" s="195" t="s">
        <v>654</v>
      </c>
      <c r="C193" s="195" t="s">
        <v>532</v>
      </c>
      <c r="D193" s="196" t="s">
        <v>304</v>
      </c>
      <c r="E193" s="195"/>
      <c r="F193" s="488">
        <f>F194+F196+F198+F202+F200</f>
        <v>8968504</v>
      </c>
      <c r="G193" s="488">
        <f>G194+G196+G198+G202+G200</f>
        <v>9683699</v>
      </c>
    </row>
    <row r="194" spans="1:7" ht="66.75" customHeight="1">
      <c r="A194" s="7" t="s">
        <v>396</v>
      </c>
      <c r="B194" s="195" t="s">
        <v>654</v>
      </c>
      <c r="C194" s="195" t="s">
        <v>532</v>
      </c>
      <c r="D194" s="196" t="s">
        <v>397</v>
      </c>
      <c r="E194" s="195"/>
      <c r="F194" s="488">
        <f>+F195</f>
        <v>6138789</v>
      </c>
      <c r="G194" s="488">
        <f>+G195</f>
        <v>6324077</v>
      </c>
    </row>
    <row r="195" spans="1:7" ht="39" customHeight="1">
      <c r="A195" s="5" t="s">
        <v>90</v>
      </c>
      <c r="B195" s="195" t="s">
        <v>654</v>
      </c>
      <c r="C195" s="195" t="s">
        <v>532</v>
      </c>
      <c r="D195" s="196" t="s">
        <v>397</v>
      </c>
      <c r="E195" s="195">
        <v>600</v>
      </c>
      <c r="F195" s="488">
        <f>752478+5340746+45565</f>
        <v>6138789</v>
      </c>
      <c r="G195" s="488">
        <f>772632+5501947+49498</f>
        <v>6324077</v>
      </c>
    </row>
    <row r="196" spans="1:7" ht="89.25">
      <c r="A196" s="309" t="s">
        <v>746</v>
      </c>
      <c r="B196" s="195" t="s">
        <v>654</v>
      </c>
      <c r="C196" s="195" t="s">
        <v>532</v>
      </c>
      <c r="D196" s="196" t="s">
        <v>747</v>
      </c>
      <c r="E196" s="195"/>
      <c r="F196" s="571">
        <f>F197</f>
        <v>318065</v>
      </c>
      <c r="G196" s="571">
        <f>G197</f>
        <v>318065</v>
      </c>
    </row>
    <row r="197" spans="1:7" ht="42" customHeight="1">
      <c r="A197" s="5" t="s">
        <v>90</v>
      </c>
      <c r="B197" s="195" t="s">
        <v>654</v>
      </c>
      <c r="C197" s="195" t="s">
        <v>532</v>
      </c>
      <c r="D197" s="196" t="s">
        <v>747</v>
      </c>
      <c r="E197" s="195">
        <v>600</v>
      </c>
      <c r="F197" s="488">
        <v>318065</v>
      </c>
      <c r="G197" s="488">
        <v>318065</v>
      </c>
    </row>
    <row r="198" spans="1:7" ht="76.5">
      <c r="A198" s="49" t="s">
        <v>295</v>
      </c>
      <c r="B198" s="195" t="s">
        <v>654</v>
      </c>
      <c r="C198" s="195" t="s">
        <v>532</v>
      </c>
      <c r="D198" s="196" t="s">
        <v>305</v>
      </c>
      <c r="E198" s="195"/>
      <c r="F198" s="571">
        <f>F199</f>
        <v>2127215</v>
      </c>
      <c r="G198" s="571">
        <f>G199</f>
        <v>2127215</v>
      </c>
    </row>
    <row r="199" spans="1:7" ht="42.75" customHeight="1">
      <c r="A199" s="5" t="s">
        <v>90</v>
      </c>
      <c r="B199" s="195" t="s">
        <v>654</v>
      </c>
      <c r="C199" s="195" t="s">
        <v>532</v>
      </c>
      <c r="D199" s="196" t="s">
        <v>305</v>
      </c>
      <c r="E199" s="195">
        <v>600</v>
      </c>
      <c r="F199" s="488">
        <v>2127215</v>
      </c>
      <c r="G199" s="488">
        <v>2127215</v>
      </c>
    </row>
    <row r="200" spans="1:7" ht="41.25" customHeight="1">
      <c r="A200" s="149" t="s">
        <v>494</v>
      </c>
      <c r="B200" s="147" t="s">
        <v>654</v>
      </c>
      <c r="C200" s="147" t="s">
        <v>532</v>
      </c>
      <c r="D200" s="148" t="s">
        <v>395</v>
      </c>
      <c r="E200" s="147"/>
      <c r="F200" s="488">
        <f>F201</f>
        <v>384435</v>
      </c>
      <c r="G200" s="488">
        <f>G201</f>
        <v>914342</v>
      </c>
    </row>
    <row r="201" spans="1:7" ht="43.5" customHeight="1">
      <c r="A201" s="159" t="s">
        <v>90</v>
      </c>
      <c r="B201" s="147" t="s">
        <v>654</v>
      </c>
      <c r="C201" s="147" t="s">
        <v>532</v>
      </c>
      <c r="D201" s="148" t="s">
        <v>395</v>
      </c>
      <c r="E201" s="147">
        <v>600</v>
      </c>
      <c r="F201" s="488">
        <f>430000-45565</f>
        <v>384435</v>
      </c>
      <c r="G201" s="488">
        <f>963840-49498</f>
        <v>914342</v>
      </c>
    </row>
    <row r="202" spans="1:7" ht="12.75" hidden="1">
      <c r="A202" s="5"/>
      <c r="B202" s="195"/>
      <c r="C202" s="195"/>
      <c r="D202" s="196"/>
      <c r="E202" s="195"/>
      <c r="F202" s="488">
        <f>F203</f>
        <v>0</v>
      </c>
      <c r="G202" s="488">
        <f>G203</f>
        <v>0</v>
      </c>
    </row>
    <row r="203" spans="1:7" ht="12.75" hidden="1">
      <c r="A203" s="5"/>
      <c r="B203" s="195"/>
      <c r="C203" s="195"/>
      <c r="D203" s="196"/>
      <c r="E203" s="195"/>
      <c r="F203" s="488"/>
      <c r="G203" s="488"/>
    </row>
    <row r="204" spans="1:7" ht="113.25" customHeight="1">
      <c r="A204" s="7" t="s">
        <v>958</v>
      </c>
      <c r="B204" s="147" t="s">
        <v>654</v>
      </c>
      <c r="C204" s="147" t="s">
        <v>532</v>
      </c>
      <c r="D204" s="148" t="s">
        <v>959</v>
      </c>
      <c r="E204" s="147"/>
      <c r="F204" s="483">
        <f>F205+F209+F207</f>
        <v>65915664</v>
      </c>
      <c r="G204" s="483">
        <f>G205+G209+G207</f>
        <v>0</v>
      </c>
    </row>
    <row r="205" spans="1:7" ht="77.25" customHeight="1">
      <c r="A205" s="390" t="s">
        <v>1012</v>
      </c>
      <c r="B205" s="147" t="s">
        <v>654</v>
      </c>
      <c r="C205" s="147" t="s">
        <v>532</v>
      </c>
      <c r="D205" s="148" t="s">
        <v>1013</v>
      </c>
      <c r="E205" s="147"/>
      <c r="F205" s="483">
        <f>F206</f>
        <v>63766132</v>
      </c>
      <c r="G205" s="483">
        <f>G206</f>
        <v>0</v>
      </c>
    </row>
    <row r="206" spans="1:7" ht="38.25">
      <c r="A206" s="159" t="s">
        <v>90</v>
      </c>
      <c r="B206" s="147" t="s">
        <v>654</v>
      </c>
      <c r="C206" s="147" t="s">
        <v>532</v>
      </c>
      <c r="D206" s="148" t="s">
        <v>1013</v>
      </c>
      <c r="E206" s="147" t="s">
        <v>79</v>
      </c>
      <c r="F206" s="483">
        <f>1275323+62490809</f>
        <v>63766132</v>
      </c>
      <c r="G206" s="483"/>
    </row>
    <row r="207" spans="1:7" ht="38.25">
      <c r="A207" s="159" t="s">
        <v>989</v>
      </c>
      <c r="B207" s="147" t="s">
        <v>654</v>
      </c>
      <c r="C207" s="147" t="s">
        <v>532</v>
      </c>
      <c r="D207" s="148" t="s">
        <v>990</v>
      </c>
      <c r="E207" s="147"/>
      <c r="F207" s="483">
        <f>F208</f>
        <v>2106541</v>
      </c>
      <c r="G207" s="483">
        <f>G208</f>
        <v>0</v>
      </c>
    </row>
    <row r="208" spans="1:7" ht="41.25" customHeight="1">
      <c r="A208" s="159" t="s">
        <v>90</v>
      </c>
      <c r="B208" s="147" t="s">
        <v>654</v>
      </c>
      <c r="C208" s="147" t="s">
        <v>532</v>
      </c>
      <c r="D208" s="148" t="s">
        <v>990</v>
      </c>
      <c r="E208" s="147">
        <v>600</v>
      </c>
      <c r="F208" s="483">
        <v>2106541</v>
      </c>
      <c r="G208" s="483"/>
    </row>
    <row r="209" spans="1:7" ht="38.25">
      <c r="A209" s="406" t="s">
        <v>960</v>
      </c>
      <c r="B209" s="147" t="s">
        <v>654</v>
      </c>
      <c r="C209" s="147" t="s">
        <v>532</v>
      </c>
      <c r="D209" s="148" t="s">
        <v>961</v>
      </c>
      <c r="E209" s="147"/>
      <c r="F209" s="483">
        <f>F210</f>
        <v>42991</v>
      </c>
      <c r="G209" s="483">
        <f>G210</f>
        <v>0</v>
      </c>
    </row>
    <row r="210" spans="1:7" ht="41.25" customHeight="1">
      <c r="A210" s="159" t="s">
        <v>90</v>
      </c>
      <c r="B210" s="147" t="s">
        <v>654</v>
      </c>
      <c r="C210" s="147" t="s">
        <v>532</v>
      </c>
      <c r="D210" s="148" t="s">
        <v>961</v>
      </c>
      <c r="E210" s="147" t="s">
        <v>79</v>
      </c>
      <c r="F210" s="483">
        <v>42991</v>
      </c>
      <c r="G210" s="483"/>
    </row>
    <row r="211" spans="1:7" ht="25.5" hidden="1">
      <c r="A211" s="308" t="s">
        <v>750</v>
      </c>
      <c r="B211" s="195" t="s">
        <v>654</v>
      </c>
      <c r="C211" s="195" t="s">
        <v>532</v>
      </c>
      <c r="D211" s="196" t="s">
        <v>331</v>
      </c>
      <c r="E211" s="195"/>
      <c r="F211" s="571">
        <f>F212</f>
        <v>0</v>
      </c>
      <c r="G211" s="571">
        <f>G212</f>
        <v>0</v>
      </c>
    </row>
    <row r="212" spans="1:7" ht="76.5" hidden="1">
      <c r="A212" s="308" t="s">
        <v>152</v>
      </c>
      <c r="B212" s="195" t="s">
        <v>654</v>
      </c>
      <c r="C212" s="195" t="s">
        <v>532</v>
      </c>
      <c r="D212" s="196" t="s">
        <v>332</v>
      </c>
      <c r="E212" s="195"/>
      <c r="F212" s="571">
        <f>F213</f>
        <v>0</v>
      </c>
      <c r="G212" s="571">
        <f>G213</f>
        <v>0</v>
      </c>
    </row>
    <row r="213" spans="1:7" ht="38.25" hidden="1">
      <c r="A213" s="308" t="s">
        <v>90</v>
      </c>
      <c r="B213" s="195" t="s">
        <v>654</v>
      </c>
      <c r="C213" s="195" t="s">
        <v>532</v>
      </c>
      <c r="D213" s="196" t="s">
        <v>332</v>
      </c>
      <c r="E213" s="195">
        <v>600</v>
      </c>
      <c r="F213" s="488"/>
      <c r="G213" s="488"/>
    </row>
    <row r="214" spans="1:7" ht="25.5" hidden="1">
      <c r="A214" s="308" t="s">
        <v>108</v>
      </c>
      <c r="B214" s="195" t="s">
        <v>654</v>
      </c>
      <c r="C214" s="195" t="s">
        <v>532</v>
      </c>
      <c r="D214" s="196" t="s">
        <v>62</v>
      </c>
      <c r="E214" s="195"/>
      <c r="F214" s="571">
        <f>F215+F217</f>
        <v>0</v>
      </c>
      <c r="G214" s="571">
        <f>G215</f>
        <v>0</v>
      </c>
    </row>
    <row r="215" spans="1:7" ht="51" hidden="1">
      <c r="A215" s="308" t="s">
        <v>153</v>
      </c>
      <c r="B215" s="195" t="s">
        <v>654</v>
      </c>
      <c r="C215" s="195" t="s">
        <v>532</v>
      </c>
      <c r="D215" s="196" t="s">
        <v>63</v>
      </c>
      <c r="E215" s="195"/>
      <c r="F215" s="571">
        <f>F216</f>
        <v>0</v>
      </c>
      <c r="G215" s="571">
        <f>G216</f>
        <v>0</v>
      </c>
    </row>
    <row r="216" spans="1:7" ht="54.75" customHeight="1" hidden="1">
      <c r="A216" s="5" t="s">
        <v>90</v>
      </c>
      <c r="B216" s="195" t="s">
        <v>654</v>
      </c>
      <c r="C216" s="195" t="s">
        <v>532</v>
      </c>
      <c r="D216" s="196" t="s">
        <v>63</v>
      </c>
      <c r="E216" s="195">
        <v>600</v>
      </c>
      <c r="F216" s="488"/>
      <c r="G216" s="488"/>
    </row>
    <row r="217" spans="1:7" ht="80.25" customHeight="1" hidden="1">
      <c r="A217" s="308" t="s">
        <v>61</v>
      </c>
      <c r="B217" s="195" t="s">
        <v>654</v>
      </c>
      <c r="C217" s="195" t="s">
        <v>532</v>
      </c>
      <c r="D217" s="196" t="s">
        <v>354</v>
      </c>
      <c r="E217" s="195"/>
      <c r="F217" s="488">
        <f>F218</f>
        <v>0</v>
      </c>
      <c r="G217" s="488"/>
    </row>
    <row r="218" spans="1:7" ht="52.5" customHeight="1" hidden="1">
      <c r="A218" s="5" t="s">
        <v>90</v>
      </c>
      <c r="B218" s="195" t="s">
        <v>654</v>
      </c>
      <c r="C218" s="195" t="s">
        <v>532</v>
      </c>
      <c r="D218" s="196" t="s">
        <v>354</v>
      </c>
      <c r="E218" s="195">
        <v>600</v>
      </c>
      <c r="F218" s="488"/>
      <c r="G218" s="488"/>
    </row>
    <row r="219" spans="1:7" ht="12.75">
      <c r="A219" s="4" t="s">
        <v>41</v>
      </c>
      <c r="B219" s="195" t="s">
        <v>654</v>
      </c>
      <c r="C219" s="223" t="s">
        <v>101</v>
      </c>
      <c r="D219" s="196"/>
      <c r="E219" s="195"/>
      <c r="F219" s="571">
        <f aca="true" t="shared" si="17" ref="F219:G223">F220</f>
        <v>16455200</v>
      </c>
      <c r="G219" s="571">
        <f t="shared" si="17"/>
        <v>16683807</v>
      </c>
    </row>
    <row r="220" spans="1:7" ht="39.75" customHeight="1">
      <c r="A220" s="211" t="s">
        <v>277</v>
      </c>
      <c r="B220" s="195" t="s">
        <v>654</v>
      </c>
      <c r="C220" s="223" t="s">
        <v>101</v>
      </c>
      <c r="D220" s="196" t="s">
        <v>557</v>
      </c>
      <c r="E220" s="195"/>
      <c r="F220" s="571">
        <f t="shared" si="17"/>
        <v>16455200</v>
      </c>
      <c r="G220" s="571">
        <f t="shared" si="17"/>
        <v>16683807</v>
      </c>
    </row>
    <row r="221" spans="1:7" ht="63.75">
      <c r="A221" s="4" t="s">
        <v>707</v>
      </c>
      <c r="B221" s="195" t="s">
        <v>654</v>
      </c>
      <c r="C221" s="223" t="s">
        <v>101</v>
      </c>
      <c r="D221" s="199" t="s">
        <v>306</v>
      </c>
      <c r="E221" s="198" t="s">
        <v>87</v>
      </c>
      <c r="F221" s="571">
        <f t="shared" si="17"/>
        <v>16455200</v>
      </c>
      <c r="G221" s="571">
        <f t="shared" si="17"/>
        <v>16683807</v>
      </c>
    </row>
    <row r="222" spans="1:7" ht="41.25" customHeight="1">
      <c r="A222" s="7" t="s">
        <v>460</v>
      </c>
      <c r="B222" s="195" t="s">
        <v>654</v>
      </c>
      <c r="C222" s="223" t="s">
        <v>101</v>
      </c>
      <c r="D222" s="196" t="s">
        <v>307</v>
      </c>
      <c r="E222" s="198"/>
      <c r="F222" s="571">
        <f t="shared" si="17"/>
        <v>16455200</v>
      </c>
      <c r="G222" s="571">
        <f t="shared" si="17"/>
        <v>16683807</v>
      </c>
    </row>
    <row r="223" spans="1:7" ht="38.25">
      <c r="A223" s="198" t="s">
        <v>494</v>
      </c>
      <c r="B223" s="195" t="s">
        <v>654</v>
      </c>
      <c r="C223" s="223" t="s">
        <v>101</v>
      </c>
      <c r="D223" s="196" t="s">
        <v>308</v>
      </c>
      <c r="E223" s="195" t="s">
        <v>87</v>
      </c>
      <c r="F223" s="571">
        <f t="shared" si="17"/>
        <v>16455200</v>
      </c>
      <c r="G223" s="571">
        <f t="shared" si="17"/>
        <v>16683807</v>
      </c>
    </row>
    <row r="224" spans="1:7" ht="38.25">
      <c r="A224" s="5" t="s">
        <v>90</v>
      </c>
      <c r="B224" s="195" t="s">
        <v>654</v>
      </c>
      <c r="C224" s="223" t="s">
        <v>101</v>
      </c>
      <c r="D224" s="196" t="s">
        <v>308</v>
      </c>
      <c r="E224" s="195">
        <v>600</v>
      </c>
      <c r="F224" s="488">
        <f>17773514-1318314</f>
        <v>16455200</v>
      </c>
      <c r="G224" s="488">
        <v>16683807</v>
      </c>
    </row>
    <row r="225" spans="1:7" ht="12.75">
      <c r="A225" s="214" t="s">
        <v>42</v>
      </c>
      <c r="B225" s="213" t="s">
        <v>654</v>
      </c>
      <c r="C225" s="213" t="s">
        <v>654</v>
      </c>
      <c r="D225" s="213" t="s">
        <v>87</v>
      </c>
      <c r="E225" s="213" t="s">
        <v>87</v>
      </c>
      <c r="F225" s="571">
        <f>F226</f>
        <v>1611036</v>
      </c>
      <c r="G225" s="571">
        <f>G226</f>
        <v>1607541</v>
      </c>
    </row>
    <row r="226" spans="1:7" ht="65.25" customHeight="1">
      <c r="A226" s="211" t="s">
        <v>438</v>
      </c>
      <c r="B226" s="195" t="s">
        <v>654</v>
      </c>
      <c r="C226" s="195" t="s">
        <v>654</v>
      </c>
      <c r="D226" s="196" t="s">
        <v>437</v>
      </c>
      <c r="E226" s="195" t="s">
        <v>87</v>
      </c>
      <c r="F226" s="571">
        <f>F227</f>
        <v>1611036</v>
      </c>
      <c r="G226" s="571">
        <f>G227</f>
        <v>1607541</v>
      </c>
    </row>
    <row r="227" spans="1:7" ht="105.75" customHeight="1">
      <c r="A227" s="4" t="s">
        <v>352</v>
      </c>
      <c r="B227" s="195" t="s">
        <v>654</v>
      </c>
      <c r="C227" s="195" t="s">
        <v>654</v>
      </c>
      <c r="D227" s="199" t="s">
        <v>488</v>
      </c>
      <c r="E227" s="198" t="s">
        <v>87</v>
      </c>
      <c r="F227" s="571">
        <f>F228+F235</f>
        <v>1611036</v>
      </c>
      <c r="G227" s="571">
        <f>G228+G235</f>
        <v>1607541</v>
      </c>
    </row>
    <row r="228" spans="1:7" ht="38.25">
      <c r="A228" s="12" t="s">
        <v>487</v>
      </c>
      <c r="B228" s="195" t="s">
        <v>654</v>
      </c>
      <c r="C228" s="195" t="s">
        <v>654</v>
      </c>
      <c r="D228" s="196" t="s">
        <v>486</v>
      </c>
      <c r="E228" s="198"/>
      <c r="F228" s="571">
        <f>F229+F232</f>
        <v>1561036</v>
      </c>
      <c r="G228" s="571">
        <f>G229+G232</f>
        <v>1560607</v>
      </c>
    </row>
    <row r="229" spans="1:7" ht="25.5">
      <c r="A229" s="12" t="s">
        <v>485</v>
      </c>
      <c r="B229" s="195" t="s">
        <v>654</v>
      </c>
      <c r="C229" s="195" t="s">
        <v>654</v>
      </c>
      <c r="D229" s="196" t="s">
        <v>484</v>
      </c>
      <c r="E229" s="198"/>
      <c r="F229" s="571">
        <f>SUM(F230:F231)</f>
        <v>7000</v>
      </c>
      <c r="G229" s="571">
        <f>SUM(G230:G231)</f>
        <v>6571</v>
      </c>
    </row>
    <row r="230" spans="1:7" ht="38.25" hidden="1">
      <c r="A230" s="5" t="s">
        <v>228</v>
      </c>
      <c r="B230" s="195" t="s">
        <v>654</v>
      </c>
      <c r="C230" s="195" t="s">
        <v>654</v>
      </c>
      <c r="D230" s="196" t="s">
        <v>484</v>
      </c>
      <c r="E230" s="198">
        <v>200</v>
      </c>
      <c r="F230" s="488">
        <v>0</v>
      </c>
      <c r="G230" s="488">
        <v>0</v>
      </c>
    </row>
    <row r="231" spans="1:7" ht="39.75" customHeight="1">
      <c r="A231" s="5" t="s">
        <v>90</v>
      </c>
      <c r="B231" s="195" t="s">
        <v>654</v>
      </c>
      <c r="C231" s="195" t="s">
        <v>654</v>
      </c>
      <c r="D231" s="196" t="s">
        <v>484</v>
      </c>
      <c r="E231" s="198">
        <v>600</v>
      </c>
      <c r="F231" s="488">
        <v>7000</v>
      </c>
      <c r="G231" s="488">
        <v>6571</v>
      </c>
    </row>
    <row r="232" spans="1:7" ht="24" customHeight="1">
      <c r="A232" s="49" t="s">
        <v>495</v>
      </c>
      <c r="B232" s="195" t="s">
        <v>654</v>
      </c>
      <c r="C232" s="195" t="s">
        <v>654</v>
      </c>
      <c r="D232" s="196" t="s">
        <v>281</v>
      </c>
      <c r="E232" s="198"/>
      <c r="F232" s="571">
        <f>SUM(F233:F234)</f>
        <v>1554036</v>
      </c>
      <c r="G232" s="571">
        <f>SUM(G233:G234)</f>
        <v>1554036</v>
      </c>
    </row>
    <row r="233" spans="1:7" ht="25.5">
      <c r="A233" s="5" t="s">
        <v>81</v>
      </c>
      <c r="B233" s="195" t="s">
        <v>654</v>
      </c>
      <c r="C233" s="195" t="s">
        <v>654</v>
      </c>
      <c r="D233" s="196" t="s">
        <v>281</v>
      </c>
      <c r="E233" s="198">
        <v>300</v>
      </c>
      <c r="F233" s="483">
        <v>691391</v>
      </c>
      <c r="G233" s="483">
        <v>691391</v>
      </c>
    </row>
    <row r="234" spans="1:7" ht="38.25" customHeight="1">
      <c r="A234" s="5" t="s">
        <v>90</v>
      </c>
      <c r="B234" s="195" t="s">
        <v>654</v>
      </c>
      <c r="C234" s="195" t="s">
        <v>654</v>
      </c>
      <c r="D234" s="196" t="s">
        <v>281</v>
      </c>
      <c r="E234" s="198">
        <v>600</v>
      </c>
      <c r="F234" s="483">
        <v>862645</v>
      </c>
      <c r="G234" s="483">
        <v>862645</v>
      </c>
    </row>
    <row r="235" spans="1:7" ht="63.75">
      <c r="A235" s="12" t="s">
        <v>752</v>
      </c>
      <c r="B235" s="195" t="s">
        <v>654</v>
      </c>
      <c r="C235" s="195" t="s">
        <v>654</v>
      </c>
      <c r="D235" s="196" t="s">
        <v>753</v>
      </c>
      <c r="E235" s="198"/>
      <c r="F235" s="571">
        <f>F236</f>
        <v>50000</v>
      </c>
      <c r="G235" s="571">
        <f>G236</f>
        <v>46934</v>
      </c>
    </row>
    <row r="236" spans="1:7" ht="25.5">
      <c r="A236" s="12" t="s">
        <v>755</v>
      </c>
      <c r="B236" s="195" t="s">
        <v>654</v>
      </c>
      <c r="C236" s="195" t="s">
        <v>654</v>
      </c>
      <c r="D236" s="196" t="s">
        <v>754</v>
      </c>
      <c r="E236" s="198"/>
      <c r="F236" s="571">
        <f>F237</f>
        <v>50000</v>
      </c>
      <c r="G236" s="571">
        <f>G237</f>
        <v>46934</v>
      </c>
    </row>
    <row r="237" spans="1:7" ht="38.25">
      <c r="A237" s="5" t="s">
        <v>228</v>
      </c>
      <c r="B237" s="195" t="s">
        <v>654</v>
      </c>
      <c r="C237" s="195" t="s">
        <v>654</v>
      </c>
      <c r="D237" s="196" t="s">
        <v>754</v>
      </c>
      <c r="E237" s="198">
        <v>200</v>
      </c>
      <c r="F237" s="488">
        <v>50000</v>
      </c>
      <c r="G237" s="488">
        <v>46934</v>
      </c>
    </row>
    <row r="238" spans="1:7" ht="18.75" customHeight="1">
      <c r="A238" s="214" t="s">
        <v>564</v>
      </c>
      <c r="B238" s="213" t="s">
        <v>654</v>
      </c>
      <c r="C238" s="213" t="s">
        <v>102</v>
      </c>
      <c r="D238" s="213" t="s">
        <v>87</v>
      </c>
      <c r="E238" s="213" t="s">
        <v>87</v>
      </c>
      <c r="F238" s="571">
        <f>F239</f>
        <v>9662223</v>
      </c>
      <c r="G238" s="571">
        <f>G239</f>
        <v>9084296</v>
      </c>
    </row>
    <row r="239" spans="1:7" ht="39" customHeight="1">
      <c r="A239" s="211" t="s">
        <v>279</v>
      </c>
      <c r="B239" s="195" t="s">
        <v>654</v>
      </c>
      <c r="C239" s="195" t="s">
        <v>102</v>
      </c>
      <c r="D239" s="196" t="s">
        <v>557</v>
      </c>
      <c r="E239" s="195" t="s">
        <v>87</v>
      </c>
      <c r="F239" s="571">
        <f>F240</f>
        <v>9662223</v>
      </c>
      <c r="G239" s="571">
        <f>G240</f>
        <v>9084296</v>
      </c>
    </row>
    <row r="240" spans="1:7" ht="63.75">
      <c r="A240" s="4" t="s">
        <v>708</v>
      </c>
      <c r="B240" s="195" t="s">
        <v>654</v>
      </c>
      <c r="C240" s="195" t="s">
        <v>102</v>
      </c>
      <c r="D240" s="196" t="s">
        <v>309</v>
      </c>
      <c r="E240" s="198" t="s">
        <v>87</v>
      </c>
      <c r="F240" s="571">
        <f>F241+F244+F249</f>
        <v>9662223</v>
      </c>
      <c r="G240" s="571">
        <f>G241+G244+G249</f>
        <v>9084296</v>
      </c>
    </row>
    <row r="241" spans="1:7" ht="63.75">
      <c r="A241" s="7" t="s">
        <v>461</v>
      </c>
      <c r="B241" s="195" t="s">
        <v>654</v>
      </c>
      <c r="C241" s="195" t="s">
        <v>102</v>
      </c>
      <c r="D241" s="196" t="s">
        <v>310</v>
      </c>
      <c r="E241" s="198"/>
      <c r="F241" s="571">
        <f>F242</f>
        <v>236023</v>
      </c>
      <c r="G241" s="571">
        <f>G242</f>
        <v>236023</v>
      </c>
    </row>
    <row r="242" spans="1:7" ht="51">
      <c r="A242" s="5" t="s">
        <v>596</v>
      </c>
      <c r="B242" s="195" t="s">
        <v>654</v>
      </c>
      <c r="C242" s="195" t="s">
        <v>102</v>
      </c>
      <c r="D242" s="196" t="s">
        <v>311</v>
      </c>
      <c r="E242" s="195"/>
      <c r="F242" s="571">
        <f>F243</f>
        <v>236023</v>
      </c>
      <c r="G242" s="571">
        <f>G243</f>
        <v>236023</v>
      </c>
    </row>
    <row r="243" spans="1:7" ht="75" customHeight="1">
      <c r="A243" s="5" t="s">
        <v>735</v>
      </c>
      <c r="B243" s="195" t="s">
        <v>654</v>
      </c>
      <c r="C243" s="195" t="s">
        <v>102</v>
      </c>
      <c r="D243" s="196" t="s">
        <v>311</v>
      </c>
      <c r="E243" s="195">
        <v>100</v>
      </c>
      <c r="F243" s="488">
        <v>236023</v>
      </c>
      <c r="G243" s="488">
        <v>236023</v>
      </c>
    </row>
    <row r="244" spans="1:7" ht="39.75" customHeight="1">
      <c r="A244" s="12" t="s">
        <v>326</v>
      </c>
      <c r="B244" s="195" t="s">
        <v>654</v>
      </c>
      <c r="C244" s="195" t="s">
        <v>102</v>
      </c>
      <c r="D244" s="196" t="s">
        <v>313</v>
      </c>
      <c r="E244" s="195"/>
      <c r="F244" s="571">
        <f>F245</f>
        <v>8051438</v>
      </c>
      <c r="G244" s="571">
        <f>G245</f>
        <v>7557799</v>
      </c>
    </row>
    <row r="245" spans="1:7" ht="38.25">
      <c r="A245" s="198" t="s">
        <v>494</v>
      </c>
      <c r="B245" s="195" t="s">
        <v>654</v>
      </c>
      <c r="C245" s="195" t="s">
        <v>102</v>
      </c>
      <c r="D245" s="196" t="s">
        <v>314</v>
      </c>
      <c r="E245" s="195" t="s">
        <v>87</v>
      </c>
      <c r="F245" s="571">
        <f>SUM(F246:F248)</f>
        <v>8051438</v>
      </c>
      <c r="G245" s="571">
        <f>SUM(G246:G248)</f>
        <v>7557799</v>
      </c>
    </row>
    <row r="246" spans="1:7" ht="78.75" customHeight="1">
      <c r="A246" s="5" t="s">
        <v>735</v>
      </c>
      <c r="B246" s="195" t="s">
        <v>654</v>
      </c>
      <c r="C246" s="195" t="s">
        <v>102</v>
      </c>
      <c r="D246" s="196" t="s">
        <v>314</v>
      </c>
      <c r="E246" s="195" t="s">
        <v>592</v>
      </c>
      <c r="F246" s="488">
        <v>7641344</v>
      </c>
      <c r="G246" s="488">
        <v>7172848</v>
      </c>
    </row>
    <row r="247" spans="1:7" ht="38.25">
      <c r="A247" s="5" t="s">
        <v>228</v>
      </c>
      <c r="B247" s="195" t="s">
        <v>654</v>
      </c>
      <c r="C247" s="195" t="s">
        <v>102</v>
      </c>
      <c r="D247" s="196" t="s">
        <v>314</v>
      </c>
      <c r="E247" s="195" t="s">
        <v>74</v>
      </c>
      <c r="F247" s="488">
        <f>163800+205004+36000</f>
        <v>404804</v>
      </c>
      <c r="G247" s="488">
        <v>379985</v>
      </c>
    </row>
    <row r="248" spans="1:7" ht="12.75">
      <c r="A248" s="5" t="s">
        <v>77</v>
      </c>
      <c r="B248" s="195" t="s">
        <v>654</v>
      </c>
      <c r="C248" s="195" t="s">
        <v>102</v>
      </c>
      <c r="D248" s="196" t="s">
        <v>314</v>
      </c>
      <c r="E248" s="195">
        <v>800</v>
      </c>
      <c r="F248" s="488">
        <v>5290</v>
      </c>
      <c r="G248" s="488">
        <v>4966</v>
      </c>
    </row>
    <row r="249" spans="1:7" ht="38.25" customHeight="1">
      <c r="A249" s="198" t="s">
        <v>637</v>
      </c>
      <c r="B249" s="195" t="s">
        <v>654</v>
      </c>
      <c r="C249" s="195" t="s">
        <v>102</v>
      </c>
      <c r="D249" s="196" t="s">
        <v>639</v>
      </c>
      <c r="E249" s="195"/>
      <c r="F249" s="571">
        <f>F250</f>
        <v>1374762</v>
      </c>
      <c r="G249" s="571">
        <f>G250</f>
        <v>1290474</v>
      </c>
    </row>
    <row r="250" spans="1:7" ht="25.5">
      <c r="A250" s="198" t="s">
        <v>731</v>
      </c>
      <c r="B250" s="195" t="s">
        <v>654</v>
      </c>
      <c r="C250" s="195" t="s">
        <v>102</v>
      </c>
      <c r="D250" s="196" t="s">
        <v>640</v>
      </c>
      <c r="E250" s="195"/>
      <c r="F250" s="571">
        <f>SUM(F251:F253)</f>
        <v>1374762</v>
      </c>
      <c r="G250" s="571">
        <f>SUM(G251:G253)</f>
        <v>1290474</v>
      </c>
    </row>
    <row r="251" spans="1:7" ht="80.25" customHeight="1">
      <c r="A251" s="5" t="s">
        <v>735</v>
      </c>
      <c r="B251" s="195" t="s">
        <v>654</v>
      </c>
      <c r="C251" s="195" t="s">
        <v>102</v>
      </c>
      <c r="D251" s="196" t="s">
        <v>640</v>
      </c>
      <c r="E251" s="195" t="s">
        <v>592</v>
      </c>
      <c r="F251" s="488">
        <v>1290762</v>
      </c>
      <c r="G251" s="488">
        <v>1211624</v>
      </c>
    </row>
    <row r="252" spans="1:7" ht="38.25">
      <c r="A252" s="5" t="s">
        <v>228</v>
      </c>
      <c r="B252" s="195" t="s">
        <v>654</v>
      </c>
      <c r="C252" s="195" t="s">
        <v>102</v>
      </c>
      <c r="D252" s="196" t="s">
        <v>640</v>
      </c>
      <c r="E252" s="195" t="s">
        <v>74</v>
      </c>
      <c r="F252" s="488">
        <v>84000</v>
      </c>
      <c r="G252" s="488">
        <v>78850</v>
      </c>
    </row>
    <row r="253" spans="1:7" ht="12.75" hidden="1">
      <c r="A253" s="193" t="s">
        <v>77</v>
      </c>
      <c r="B253" s="191" t="s">
        <v>654</v>
      </c>
      <c r="C253" s="191" t="s">
        <v>102</v>
      </c>
      <c r="D253" s="192" t="s">
        <v>640</v>
      </c>
      <c r="E253" s="191">
        <v>800</v>
      </c>
      <c r="F253" s="574"/>
      <c r="G253" s="574"/>
    </row>
    <row r="254" spans="1:7" ht="12.75">
      <c r="A254" s="174" t="s">
        <v>722</v>
      </c>
      <c r="B254" s="172" t="s">
        <v>553</v>
      </c>
      <c r="C254" s="216" t="s">
        <v>462</v>
      </c>
      <c r="D254" s="172" t="s">
        <v>87</v>
      </c>
      <c r="E254" s="172" t="s">
        <v>87</v>
      </c>
      <c r="F254" s="570">
        <f>F255</f>
        <v>28550829</v>
      </c>
      <c r="G254" s="570">
        <f>G255</f>
        <v>26809744</v>
      </c>
    </row>
    <row r="255" spans="1:7" ht="12.75">
      <c r="A255" s="214" t="s">
        <v>565</v>
      </c>
      <c r="B255" s="213" t="s">
        <v>553</v>
      </c>
      <c r="C255" s="213" t="s">
        <v>530</v>
      </c>
      <c r="D255" s="213" t="s">
        <v>87</v>
      </c>
      <c r="E255" s="213" t="s">
        <v>87</v>
      </c>
      <c r="F255" s="571">
        <f>F256</f>
        <v>28550829</v>
      </c>
      <c r="G255" s="571">
        <f>G256</f>
        <v>26809744</v>
      </c>
    </row>
    <row r="256" spans="1:7" ht="25.5">
      <c r="A256" s="211" t="s">
        <v>15</v>
      </c>
      <c r="B256" s="195" t="s">
        <v>553</v>
      </c>
      <c r="C256" s="195" t="s">
        <v>530</v>
      </c>
      <c r="D256" s="196" t="s">
        <v>315</v>
      </c>
      <c r="E256" s="195" t="s">
        <v>87</v>
      </c>
      <c r="F256" s="571">
        <f>F257+F263</f>
        <v>28550829</v>
      </c>
      <c r="G256" s="571">
        <f>G257+G263</f>
        <v>26809744</v>
      </c>
    </row>
    <row r="257" spans="1:7" ht="41.25" customHeight="1">
      <c r="A257" s="4" t="s">
        <v>586</v>
      </c>
      <c r="B257" s="195" t="s">
        <v>553</v>
      </c>
      <c r="C257" s="195" t="s">
        <v>530</v>
      </c>
      <c r="D257" s="196" t="s">
        <v>316</v>
      </c>
      <c r="E257" s="198" t="s">
        <v>87</v>
      </c>
      <c r="F257" s="571">
        <f>F258</f>
        <v>5429723</v>
      </c>
      <c r="G257" s="571">
        <f>G258</f>
        <v>5096823</v>
      </c>
    </row>
    <row r="258" spans="1:7" ht="25.5">
      <c r="A258" s="8" t="s">
        <v>483</v>
      </c>
      <c r="B258" s="195" t="s">
        <v>553</v>
      </c>
      <c r="C258" s="195" t="s">
        <v>530</v>
      </c>
      <c r="D258" s="196" t="s">
        <v>317</v>
      </c>
      <c r="E258" s="198"/>
      <c r="F258" s="571">
        <f>F259</f>
        <v>5429723</v>
      </c>
      <c r="G258" s="571">
        <f>G259</f>
        <v>5096823</v>
      </c>
    </row>
    <row r="259" spans="1:7" ht="38.25">
      <c r="A259" s="198" t="s">
        <v>733</v>
      </c>
      <c r="B259" s="195" t="s">
        <v>553</v>
      </c>
      <c r="C259" s="195" t="s">
        <v>530</v>
      </c>
      <c r="D259" s="196" t="s">
        <v>318</v>
      </c>
      <c r="E259" s="195" t="s">
        <v>87</v>
      </c>
      <c r="F259" s="571">
        <f>SUM(F260:F262)</f>
        <v>5429723</v>
      </c>
      <c r="G259" s="571">
        <f>SUM(G260:G262)</f>
        <v>5096823</v>
      </c>
    </row>
    <row r="260" spans="1:7" ht="81.75" customHeight="1">
      <c r="A260" s="5" t="s">
        <v>735</v>
      </c>
      <c r="B260" s="195" t="s">
        <v>553</v>
      </c>
      <c r="C260" s="195" t="s">
        <v>530</v>
      </c>
      <c r="D260" s="196" t="s">
        <v>318</v>
      </c>
      <c r="E260" s="195">
        <v>100</v>
      </c>
      <c r="F260" s="488">
        <v>5205523</v>
      </c>
      <c r="G260" s="488">
        <v>4886368</v>
      </c>
    </row>
    <row r="261" spans="1:7" ht="38.25">
      <c r="A261" s="5" t="s">
        <v>228</v>
      </c>
      <c r="B261" s="195" t="s">
        <v>553</v>
      </c>
      <c r="C261" s="195" t="s">
        <v>530</v>
      </c>
      <c r="D261" s="196" t="s">
        <v>318</v>
      </c>
      <c r="E261" s="195">
        <v>200</v>
      </c>
      <c r="F261" s="488">
        <f>48120+130462+6386+6336</f>
        <v>191304</v>
      </c>
      <c r="G261" s="488">
        <v>179576</v>
      </c>
    </row>
    <row r="262" spans="1:7" ht="12.75">
      <c r="A262" s="5" t="s">
        <v>77</v>
      </c>
      <c r="B262" s="195" t="s">
        <v>553</v>
      </c>
      <c r="C262" s="195" t="s">
        <v>530</v>
      </c>
      <c r="D262" s="196" t="s">
        <v>318</v>
      </c>
      <c r="E262" s="195">
        <v>800</v>
      </c>
      <c r="F262" s="488">
        <v>32896</v>
      </c>
      <c r="G262" s="488">
        <v>30879</v>
      </c>
    </row>
    <row r="263" spans="1:7" ht="39.75" customHeight="1">
      <c r="A263" s="4" t="s">
        <v>587</v>
      </c>
      <c r="B263" s="195" t="s">
        <v>553</v>
      </c>
      <c r="C263" s="195" t="s">
        <v>530</v>
      </c>
      <c r="D263" s="196" t="s">
        <v>319</v>
      </c>
      <c r="E263" s="198"/>
      <c r="F263" s="571">
        <f>F264</f>
        <v>23121106</v>
      </c>
      <c r="G263" s="571">
        <f>G264</f>
        <v>21712921</v>
      </c>
    </row>
    <row r="264" spans="1:7" ht="63.75">
      <c r="A264" s="8" t="s">
        <v>641</v>
      </c>
      <c r="B264" s="195" t="s">
        <v>553</v>
      </c>
      <c r="C264" s="195" t="s">
        <v>530</v>
      </c>
      <c r="D264" s="196" t="s">
        <v>320</v>
      </c>
      <c r="E264" s="198"/>
      <c r="F264" s="571">
        <f>F265+F267</f>
        <v>23121106</v>
      </c>
      <c r="G264" s="571">
        <f>G265+G267</f>
        <v>21712921</v>
      </c>
    </row>
    <row r="265" spans="1:7" ht="38.25">
      <c r="A265" s="198" t="s">
        <v>733</v>
      </c>
      <c r="B265" s="195" t="s">
        <v>553</v>
      </c>
      <c r="C265" s="195" t="s">
        <v>530</v>
      </c>
      <c r="D265" s="196" t="s">
        <v>321</v>
      </c>
      <c r="E265" s="198"/>
      <c r="F265" s="571">
        <f>F266</f>
        <v>23031106</v>
      </c>
      <c r="G265" s="571">
        <f>G266</f>
        <v>21619052</v>
      </c>
    </row>
    <row r="266" spans="1:7" ht="38.25">
      <c r="A266" s="5" t="s">
        <v>90</v>
      </c>
      <c r="B266" s="195" t="s">
        <v>553</v>
      </c>
      <c r="C266" s="195" t="s">
        <v>530</v>
      </c>
      <c r="D266" s="196" t="s">
        <v>321</v>
      </c>
      <c r="E266" s="198">
        <v>600</v>
      </c>
      <c r="F266" s="488">
        <v>23031106</v>
      </c>
      <c r="G266" s="488">
        <v>21619052</v>
      </c>
    </row>
    <row r="267" spans="1:7" ht="36">
      <c r="A267" s="9" t="s">
        <v>291</v>
      </c>
      <c r="B267" s="223" t="s">
        <v>553</v>
      </c>
      <c r="C267" s="195" t="s">
        <v>530</v>
      </c>
      <c r="D267" s="196" t="s">
        <v>270</v>
      </c>
      <c r="E267" s="198"/>
      <c r="F267" s="571">
        <f>F268</f>
        <v>90000</v>
      </c>
      <c r="G267" s="571">
        <f>G268</f>
        <v>93869</v>
      </c>
    </row>
    <row r="268" spans="1:7" ht="28.5" customHeight="1">
      <c r="A268" s="193" t="s">
        <v>91</v>
      </c>
      <c r="B268" s="222" t="s">
        <v>553</v>
      </c>
      <c r="C268" s="191" t="s">
        <v>530</v>
      </c>
      <c r="D268" s="192" t="s">
        <v>270</v>
      </c>
      <c r="E268" s="217">
        <v>200</v>
      </c>
      <c r="F268" s="574">
        <f>100000-10000</f>
        <v>90000</v>
      </c>
      <c r="G268" s="574">
        <v>93869</v>
      </c>
    </row>
    <row r="269" spans="1:7" ht="12.75">
      <c r="A269" s="204" t="s">
        <v>43</v>
      </c>
      <c r="B269" s="216" t="s">
        <v>102</v>
      </c>
      <c r="C269" s="173" t="s">
        <v>462</v>
      </c>
      <c r="D269" s="202"/>
      <c r="E269" s="201"/>
      <c r="F269" s="570">
        <f aca="true" t="shared" si="18" ref="F269:G273">F270</f>
        <v>1084220</v>
      </c>
      <c r="G269" s="570">
        <f t="shared" si="18"/>
        <v>1084220</v>
      </c>
    </row>
    <row r="270" spans="1:7" ht="25.5">
      <c r="A270" s="5" t="s">
        <v>44</v>
      </c>
      <c r="B270" s="223" t="s">
        <v>102</v>
      </c>
      <c r="C270" s="223" t="s">
        <v>654</v>
      </c>
      <c r="D270" s="196"/>
      <c r="E270" s="198"/>
      <c r="F270" s="571">
        <f t="shared" si="18"/>
        <v>1084220</v>
      </c>
      <c r="G270" s="571">
        <f t="shared" si="18"/>
        <v>1084220</v>
      </c>
    </row>
    <row r="271" spans="1:7" ht="25.5">
      <c r="A271" s="211" t="s">
        <v>626</v>
      </c>
      <c r="B271" s="223" t="s">
        <v>102</v>
      </c>
      <c r="C271" s="223" t="s">
        <v>654</v>
      </c>
      <c r="D271" s="196" t="s">
        <v>14</v>
      </c>
      <c r="E271" s="198"/>
      <c r="F271" s="571">
        <f t="shared" si="18"/>
        <v>1084220</v>
      </c>
      <c r="G271" s="571">
        <f t="shared" si="18"/>
        <v>1084220</v>
      </c>
    </row>
    <row r="272" spans="1:7" ht="25.5">
      <c r="A272" s="4" t="s">
        <v>636</v>
      </c>
      <c r="B272" s="223" t="s">
        <v>102</v>
      </c>
      <c r="C272" s="223" t="s">
        <v>654</v>
      </c>
      <c r="D272" s="199" t="s">
        <v>16</v>
      </c>
      <c r="E272" s="198"/>
      <c r="F272" s="571">
        <f t="shared" si="18"/>
        <v>1084220</v>
      </c>
      <c r="G272" s="571">
        <f t="shared" si="18"/>
        <v>1084220</v>
      </c>
    </row>
    <row r="273" spans="1:7" ht="38.25">
      <c r="A273" s="6" t="s">
        <v>768</v>
      </c>
      <c r="B273" s="223" t="s">
        <v>102</v>
      </c>
      <c r="C273" s="223" t="s">
        <v>654</v>
      </c>
      <c r="D273" s="196" t="s">
        <v>45</v>
      </c>
      <c r="E273" s="198"/>
      <c r="F273" s="571">
        <f t="shared" si="18"/>
        <v>1084220</v>
      </c>
      <c r="G273" s="571">
        <f t="shared" si="18"/>
        <v>1084220</v>
      </c>
    </row>
    <row r="274" spans="1:7" ht="28.5" customHeight="1">
      <c r="A274" s="193" t="s">
        <v>91</v>
      </c>
      <c r="B274" s="222" t="s">
        <v>102</v>
      </c>
      <c r="C274" s="222" t="s">
        <v>654</v>
      </c>
      <c r="D274" s="192" t="s">
        <v>45</v>
      </c>
      <c r="E274" s="217">
        <v>200</v>
      </c>
      <c r="F274" s="574">
        <v>1084220</v>
      </c>
      <c r="G274" s="574">
        <v>1084220</v>
      </c>
    </row>
    <row r="275" spans="1:7" ht="12.75">
      <c r="A275" s="174" t="s">
        <v>566</v>
      </c>
      <c r="B275" s="172" t="s">
        <v>554</v>
      </c>
      <c r="C275" s="216" t="s">
        <v>462</v>
      </c>
      <c r="D275" s="172" t="s">
        <v>87</v>
      </c>
      <c r="E275" s="172" t="s">
        <v>87</v>
      </c>
      <c r="F275" s="570">
        <f>F276+F299+F321</f>
        <v>74917352</v>
      </c>
      <c r="G275" s="570">
        <f>G276+G299+G321</f>
        <v>75856554</v>
      </c>
    </row>
    <row r="276" spans="1:7" ht="12.75">
      <c r="A276" s="214" t="s">
        <v>567</v>
      </c>
      <c r="B276" s="213" t="s">
        <v>554</v>
      </c>
      <c r="C276" s="213" t="s">
        <v>101</v>
      </c>
      <c r="D276" s="213" t="s">
        <v>87</v>
      </c>
      <c r="E276" s="213" t="s">
        <v>87</v>
      </c>
      <c r="F276" s="571">
        <f>F277+F294</f>
        <v>7485212</v>
      </c>
      <c r="G276" s="571">
        <f>G277+G294</f>
        <v>7483986</v>
      </c>
    </row>
    <row r="277" spans="1:7" ht="38.25">
      <c r="A277" s="211" t="s">
        <v>162</v>
      </c>
      <c r="B277" s="195" t="s">
        <v>554</v>
      </c>
      <c r="C277" s="195" t="s">
        <v>101</v>
      </c>
      <c r="D277" s="196" t="s">
        <v>223</v>
      </c>
      <c r="E277" s="195" t="s">
        <v>87</v>
      </c>
      <c r="F277" s="571">
        <f>F278</f>
        <v>7465212</v>
      </c>
      <c r="G277" s="571">
        <f>G278</f>
        <v>7465212</v>
      </c>
    </row>
    <row r="278" spans="1:7" ht="53.25" customHeight="1">
      <c r="A278" s="4" t="s">
        <v>163</v>
      </c>
      <c r="B278" s="195" t="s">
        <v>554</v>
      </c>
      <c r="C278" s="195" t="s">
        <v>101</v>
      </c>
      <c r="D278" s="199" t="s">
        <v>117</v>
      </c>
      <c r="E278" s="198" t="s">
        <v>87</v>
      </c>
      <c r="F278" s="571">
        <f>F279+F286+F290</f>
        <v>7465212</v>
      </c>
      <c r="G278" s="571">
        <f>G279+G286+G290</f>
        <v>7465212</v>
      </c>
    </row>
    <row r="279" spans="1:7" ht="38.25">
      <c r="A279" s="8" t="s">
        <v>642</v>
      </c>
      <c r="B279" s="195" t="s">
        <v>554</v>
      </c>
      <c r="C279" s="195" t="s">
        <v>101</v>
      </c>
      <c r="D279" s="199" t="s">
        <v>126</v>
      </c>
      <c r="E279" s="195"/>
      <c r="F279" s="571">
        <f>F280+F283</f>
        <v>7074641</v>
      </c>
      <c r="G279" s="571">
        <f>G280+G283</f>
        <v>7074641</v>
      </c>
    </row>
    <row r="280" spans="1:7" ht="25.5">
      <c r="A280" s="198" t="s">
        <v>589</v>
      </c>
      <c r="B280" s="195" t="s">
        <v>554</v>
      </c>
      <c r="C280" s="195" t="s">
        <v>101</v>
      </c>
      <c r="D280" s="196" t="s">
        <v>643</v>
      </c>
      <c r="E280" s="195" t="s">
        <v>87</v>
      </c>
      <c r="F280" s="571">
        <f>SUM(F281:F282)</f>
        <v>6592141</v>
      </c>
      <c r="G280" s="571">
        <f>SUM(G281:G282)</f>
        <v>6592141</v>
      </c>
    </row>
    <row r="281" spans="1:7" ht="38.25">
      <c r="A281" s="5" t="s">
        <v>228</v>
      </c>
      <c r="B281" s="195" t="s">
        <v>554</v>
      </c>
      <c r="C281" s="195" t="s">
        <v>101</v>
      </c>
      <c r="D281" s="196" t="s">
        <v>643</v>
      </c>
      <c r="E281" s="195">
        <v>200</v>
      </c>
      <c r="F281" s="488">
        <v>71000</v>
      </c>
      <c r="G281" s="488">
        <v>71000</v>
      </c>
    </row>
    <row r="282" spans="1:7" ht="25.5">
      <c r="A282" s="5" t="s">
        <v>81</v>
      </c>
      <c r="B282" s="195" t="s">
        <v>554</v>
      </c>
      <c r="C282" s="195" t="s">
        <v>101</v>
      </c>
      <c r="D282" s="196" t="s">
        <v>643</v>
      </c>
      <c r="E282" s="195">
        <v>300</v>
      </c>
      <c r="F282" s="488">
        <v>6521141</v>
      </c>
      <c r="G282" s="488">
        <v>6521141</v>
      </c>
    </row>
    <row r="283" spans="1:7" ht="25.5">
      <c r="A283" s="198" t="s">
        <v>590</v>
      </c>
      <c r="B283" s="195" t="s">
        <v>554</v>
      </c>
      <c r="C283" s="195" t="s">
        <v>101</v>
      </c>
      <c r="D283" s="196" t="s">
        <v>644</v>
      </c>
      <c r="E283" s="195" t="s">
        <v>87</v>
      </c>
      <c r="F283" s="571">
        <f>SUM(F284:F285)</f>
        <v>482500</v>
      </c>
      <c r="G283" s="571">
        <f>SUM(G284:G285)</f>
        <v>482500</v>
      </c>
    </row>
    <row r="284" spans="1:7" ht="38.25">
      <c r="A284" s="5" t="s">
        <v>228</v>
      </c>
      <c r="B284" s="195" t="s">
        <v>554</v>
      </c>
      <c r="C284" s="195" t="s">
        <v>101</v>
      </c>
      <c r="D284" s="196" t="s">
        <v>644</v>
      </c>
      <c r="E284" s="195">
        <v>200</v>
      </c>
      <c r="F284" s="488">
        <v>9500</v>
      </c>
      <c r="G284" s="488">
        <v>9500</v>
      </c>
    </row>
    <row r="285" spans="1:7" ht="25.5">
      <c r="A285" s="5" t="s">
        <v>81</v>
      </c>
      <c r="B285" s="195" t="s">
        <v>554</v>
      </c>
      <c r="C285" s="195" t="s">
        <v>101</v>
      </c>
      <c r="D285" s="196" t="s">
        <v>644</v>
      </c>
      <c r="E285" s="195" t="s">
        <v>80</v>
      </c>
      <c r="F285" s="488">
        <v>473000</v>
      </c>
      <c r="G285" s="488">
        <v>473000</v>
      </c>
    </row>
    <row r="286" spans="1:7" ht="38.25">
      <c r="A286" s="7" t="s">
        <v>123</v>
      </c>
      <c r="B286" s="213" t="s">
        <v>554</v>
      </c>
      <c r="C286" s="213" t="s">
        <v>101</v>
      </c>
      <c r="D286" s="199" t="s">
        <v>127</v>
      </c>
      <c r="E286" s="213"/>
      <c r="F286" s="571">
        <f>F287</f>
        <v>125083</v>
      </c>
      <c r="G286" s="571">
        <f>G287</f>
        <v>125083</v>
      </c>
    </row>
    <row r="287" spans="1:7" ht="39.75" customHeight="1">
      <c r="A287" s="198" t="s">
        <v>262</v>
      </c>
      <c r="B287" s="195" t="s">
        <v>554</v>
      </c>
      <c r="C287" s="195" t="s">
        <v>101</v>
      </c>
      <c r="D287" s="196" t="s">
        <v>128</v>
      </c>
      <c r="E287" s="195" t="s">
        <v>87</v>
      </c>
      <c r="F287" s="571">
        <f>SUM(F288:F289)</f>
        <v>125083</v>
      </c>
      <c r="G287" s="571">
        <f>SUM(G288:G289)</f>
        <v>125083</v>
      </c>
    </row>
    <row r="288" spans="1:7" ht="38.25">
      <c r="A288" s="5" t="s">
        <v>228</v>
      </c>
      <c r="B288" s="195" t="s">
        <v>554</v>
      </c>
      <c r="C288" s="195" t="s">
        <v>101</v>
      </c>
      <c r="D288" s="196" t="s">
        <v>128</v>
      </c>
      <c r="E288" s="195">
        <v>200</v>
      </c>
      <c r="F288" s="571">
        <v>1900</v>
      </c>
      <c r="G288" s="571">
        <v>1900</v>
      </c>
    </row>
    <row r="289" spans="1:7" ht="25.5">
      <c r="A289" s="5" t="s">
        <v>81</v>
      </c>
      <c r="B289" s="195" t="s">
        <v>554</v>
      </c>
      <c r="C289" s="195" t="s">
        <v>101</v>
      </c>
      <c r="D289" s="196" t="s">
        <v>128</v>
      </c>
      <c r="E289" s="195" t="s">
        <v>80</v>
      </c>
      <c r="F289" s="488">
        <v>123183</v>
      </c>
      <c r="G289" s="488">
        <v>123183</v>
      </c>
    </row>
    <row r="290" spans="1:7" ht="51">
      <c r="A290" s="10" t="s">
        <v>645</v>
      </c>
      <c r="B290" s="213" t="s">
        <v>554</v>
      </c>
      <c r="C290" s="213" t="s">
        <v>101</v>
      </c>
      <c r="D290" s="199" t="s">
        <v>129</v>
      </c>
      <c r="E290" s="213"/>
      <c r="F290" s="571">
        <f>F291</f>
        <v>265488</v>
      </c>
      <c r="G290" s="571">
        <f>G291</f>
        <v>265488</v>
      </c>
    </row>
    <row r="291" spans="1:7" ht="51">
      <c r="A291" s="198" t="s">
        <v>492</v>
      </c>
      <c r="B291" s="195" t="s">
        <v>554</v>
      </c>
      <c r="C291" s="195" t="s">
        <v>101</v>
      </c>
      <c r="D291" s="196" t="s">
        <v>130</v>
      </c>
      <c r="E291" s="195" t="s">
        <v>87</v>
      </c>
      <c r="F291" s="571">
        <f>SUM(F292:F293)</f>
        <v>265488</v>
      </c>
      <c r="G291" s="571">
        <f>SUM(G292:G293)</f>
        <v>265488</v>
      </c>
    </row>
    <row r="292" spans="1:7" ht="38.25">
      <c r="A292" s="5" t="s">
        <v>228</v>
      </c>
      <c r="B292" s="195" t="s">
        <v>554</v>
      </c>
      <c r="C292" s="195" t="s">
        <v>101</v>
      </c>
      <c r="D292" s="196" t="s">
        <v>130</v>
      </c>
      <c r="E292" s="195">
        <v>200</v>
      </c>
      <c r="F292" s="488">
        <v>2000</v>
      </c>
      <c r="G292" s="488">
        <v>2000</v>
      </c>
    </row>
    <row r="293" spans="1:7" ht="25.5">
      <c r="A293" s="5" t="s">
        <v>81</v>
      </c>
      <c r="B293" s="195" t="s">
        <v>554</v>
      </c>
      <c r="C293" s="195" t="s">
        <v>101</v>
      </c>
      <c r="D293" s="196" t="s">
        <v>130</v>
      </c>
      <c r="E293" s="195">
        <v>300</v>
      </c>
      <c r="F293" s="488">
        <v>263488</v>
      </c>
      <c r="G293" s="488">
        <v>263488</v>
      </c>
    </row>
    <row r="294" spans="1:7" ht="39.75" customHeight="1">
      <c r="A294" s="211" t="s">
        <v>277</v>
      </c>
      <c r="B294" s="195">
        <v>10</v>
      </c>
      <c r="C294" s="195" t="s">
        <v>101</v>
      </c>
      <c r="D294" s="196" t="s">
        <v>557</v>
      </c>
      <c r="E294" s="195"/>
      <c r="F294" s="571">
        <f aca="true" t="shared" si="19" ref="F294:G297">F295</f>
        <v>20000</v>
      </c>
      <c r="G294" s="571">
        <f t="shared" si="19"/>
        <v>18774</v>
      </c>
    </row>
    <row r="295" spans="1:7" ht="51.75" customHeight="1">
      <c r="A295" s="4" t="s">
        <v>278</v>
      </c>
      <c r="B295" s="195">
        <v>10</v>
      </c>
      <c r="C295" s="195" t="s">
        <v>101</v>
      </c>
      <c r="D295" s="199" t="s">
        <v>558</v>
      </c>
      <c r="E295" s="195"/>
      <c r="F295" s="571">
        <f t="shared" si="19"/>
        <v>20000</v>
      </c>
      <c r="G295" s="571">
        <f t="shared" si="19"/>
        <v>18774</v>
      </c>
    </row>
    <row r="296" spans="1:7" ht="25.5">
      <c r="A296" s="7" t="s">
        <v>459</v>
      </c>
      <c r="B296" s="195">
        <v>10</v>
      </c>
      <c r="C296" s="195" t="s">
        <v>101</v>
      </c>
      <c r="D296" s="199" t="s">
        <v>304</v>
      </c>
      <c r="E296" s="195"/>
      <c r="F296" s="571">
        <f t="shared" si="19"/>
        <v>20000</v>
      </c>
      <c r="G296" s="571">
        <f t="shared" si="19"/>
        <v>18774</v>
      </c>
    </row>
    <row r="297" spans="1:7" ht="12.75">
      <c r="A297" s="9" t="s">
        <v>274</v>
      </c>
      <c r="B297" s="195">
        <v>10</v>
      </c>
      <c r="C297" s="195" t="s">
        <v>101</v>
      </c>
      <c r="D297" s="196" t="s">
        <v>273</v>
      </c>
      <c r="E297" s="195"/>
      <c r="F297" s="571">
        <f t="shared" si="19"/>
        <v>20000</v>
      </c>
      <c r="G297" s="571">
        <f t="shared" si="19"/>
        <v>18774</v>
      </c>
    </row>
    <row r="298" spans="1:7" ht="25.5">
      <c r="A298" s="5" t="s">
        <v>81</v>
      </c>
      <c r="B298" s="195">
        <v>10</v>
      </c>
      <c r="C298" s="195" t="s">
        <v>101</v>
      </c>
      <c r="D298" s="196" t="s">
        <v>273</v>
      </c>
      <c r="E298" s="195">
        <v>300</v>
      </c>
      <c r="F298" s="488">
        <v>20000</v>
      </c>
      <c r="G298" s="488">
        <v>18774</v>
      </c>
    </row>
    <row r="299" spans="1:7" ht="12.75">
      <c r="A299" s="214" t="s">
        <v>568</v>
      </c>
      <c r="B299" s="213" t="s">
        <v>554</v>
      </c>
      <c r="C299" s="213" t="s">
        <v>533</v>
      </c>
      <c r="D299" s="213" t="s">
        <v>87</v>
      </c>
      <c r="E299" s="213" t="s">
        <v>87</v>
      </c>
      <c r="F299" s="571">
        <f>F300+F315</f>
        <v>62655640</v>
      </c>
      <c r="G299" s="571">
        <f>G300+G315</f>
        <v>63596068</v>
      </c>
    </row>
    <row r="300" spans="1:7" ht="38.25">
      <c r="A300" s="211" t="s">
        <v>162</v>
      </c>
      <c r="B300" s="195" t="s">
        <v>554</v>
      </c>
      <c r="C300" s="195" t="s">
        <v>533</v>
      </c>
      <c r="D300" s="196" t="s">
        <v>223</v>
      </c>
      <c r="E300" s="195"/>
      <c r="F300" s="571">
        <f>F301</f>
        <v>57539542</v>
      </c>
      <c r="G300" s="571">
        <f>G301</f>
        <v>58479970</v>
      </c>
    </row>
    <row r="301" spans="1:7" ht="76.5" customHeight="1">
      <c r="A301" s="4" t="s">
        <v>240</v>
      </c>
      <c r="B301" s="195" t="s">
        <v>554</v>
      </c>
      <c r="C301" s="195" t="s">
        <v>533</v>
      </c>
      <c r="D301" s="199" t="s">
        <v>7</v>
      </c>
      <c r="E301" s="198" t="s">
        <v>87</v>
      </c>
      <c r="F301" s="571">
        <f>F302+F309+F312</f>
        <v>57539542</v>
      </c>
      <c r="G301" s="571">
        <f>G302+G309+G312</f>
        <v>58479970</v>
      </c>
    </row>
    <row r="302" spans="1:7" ht="51">
      <c r="A302" s="8" t="s">
        <v>757</v>
      </c>
      <c r="B302" s="195" t="s">
        <v>554</v>
      </c>
      <c r="C302" s="195" t="s">
        <v>533</v>
      </c>
      <c r="D302" s="195" t="s">
        <v>124</v>
      </c>
      <c r="E302" s="195"/>
      <c r="F302" s="571">
        <f>F303+F305+F307</f>
        <v>47192196</v>
      </c>
      <c r="G302" s="571">
        <f>G303+G305+G307</f>
        <v>50039667</v>
      </c>
    </row>
    <row r="303" spans="1:7" ht="12.75">
      <c r="A303" s="7" t="s">
        <v>555</v>
      </c>
      <c r="B303" s="195" t="s">
        <v>554</v>
      </c>
      <c r="C303" s="195" t="s">
        <v>533</v>
      </c>
      <c r="D303" s="196" t="s">
        <v>758</v>
      </c>
      <c r="E303" s="195"/>
      <c r="F303" s="571">
        <f>F304</f>
        <v>1707915</v>
      </c>
      <c r="G303" s="571">
        <f>G304</f>
        <v>1707915</v>
      </c>
    </row>
    <row r="304" spans="1:7" ht="25.5">
      <c r="A304" s="5" t="s">
        <v>81</v>
      </c>
      <c r="B304" s="195" t="s">
        <v>554</v>
      </c>
      <c r="C304" s="195" t="s">
        <v>533</v>
      </c>
      <c r="D304" s="196" t="s">
        <v>758</v>
      </c>
      <c r="E304" s="195">
        <v>300</v>
      </c>
      <c r="F304" s="488">
        <v>1707915</v>
      </c>
      <c r="G304" s="488">
        <v>1707915</v>
      </c>
    </row>
    <row r="305" spans="1:7" ht="25.5">
      <c r="A305" s="311" t="s">
        <v>510</v>
      </c>
      <c r="B305" s="195" t="s">
        <v>554</v>
      </c>
      <c r="C305" s="195" t="s">
        <v>533</v>
      </c>
      <c r="D305" s="196" t="s">
        <v>511</v>
      </c>
      <c r="E305" s="195"/>
      <c r="F305" s="488">
        <f>F306</f>
        <v>44608300</v>
      </c>
      <c r="G305" s="488">
        <f>G306</f>
        <v>47416182</v>
      </c>
    </row>
    <row r="306" spans="1:7" ht="25.5">
      <c r="A306" s="5" t="s">
        <v>81</v>
      </c>
      <c r="B306" s="195" t="s">
        <v>554</v>
      </c>
      <c r="C306" s="195" t="s">
        <v>533</v>
      </c>
      <c r="D306" s="196" t="s">
        <v>511</v>
      </c>
      <c r="E306" s="195">
        <v>300</v>
      </c>
      <c r="F306" s="488">
        <v>44608300</v>
      </c>
      <c r="G306" s="488">
        <v>47416182</v>
      </c>
    </row>
    <row r="307" spans="1:7" ht="38.25">
      <c r="A307" s="311" t="s">
        <v>512</v>
      </c>
      <c r="B307" s="195" t="s">
        <v>554</v>
      </c>
      <c r="C307" s="195" t="s">
        <v>533</v>
      </c>
      <c r="D307" s="196" t="s">
        <v>513</v>
      </c>
      <c r="E307" s="195"/>
      <c r="F307" s="488">
        <f>F308</f>
        <v>875981</v>
      </c>
      <c r="G307" s="488">
        <f>G308</f>
        <v>915570</v>
      </c>
    </row>
    <row r="308" spans="1:7" ht="38.25">
      <c r="A308" s="5" t="s">
        <v>228</v>
      </c>
      <c r="B308" s="195" t="s">
        <v>554</v>
      </c>
      <c r="C308" s="195" t="s">
        <v>533</v>
      </c>
      <c r="D308" s="196" t="s">
        <v>513</v>
      </c>
      <c r="E308" s="195">
        <v>200</v>
      </c>
      <c r="F308" s="488">
        <v>875981</v>
      </c>
      <c r="G308" s="488">
        <v>915570</v>
      </c>
    </row>
    <row r="309" spans="1:7" ht="64.5" customHeight="1">
      <c r="A309" s="8" t="s">
        <v>125</v>
      </c>
      <c r="B309" s="195" t="s">
        <v>554</v>
      </c>
      <c r="C309" s="195" t="s">
        <v>533</v>
      </c>
      <c r="D309" s="199" t="s">
        <v>759</v>
      </c>
      <c r="E309" s="198"/>
      <c r="F309" s="571">
        <f>F310</f>
        <v>6119254</v>
      </c>
      <c r="G309" s="571">
        <f>G310</f>
        <v>6326257</v>
      </c>
    </row>
    <row r="310" spans="1:7" ht="38.25">
      <c r="A310" s="198" t="s">
        <v>591</v>
      </c>
      <c r="B310" s="195" t="s">
        <v>554</v>
      </c>
      <c r="C310" s="195" t="s">
        <v>533</v>
      </c>
      <c r="D310" s="196" t="s">
        <v>760</v>
      </c>
      <c r="E310" s="195" t="s">
        <v>87</v>
      </c>
      <c r="F310" s="571">
        <f>SUM(F311:F311)</f>
        <v>6119254</v>
      </c>
      <c r="G310" s="571">
        <f>SUM(G311:G311)</f>
        <v>6326257</v>
      </c>
    </row>
    <row r="311" spans="1:7" ht="25.5">
      <c r="A311" s="5" t="s">
        <v>81</v>
      </c>
      <c r="B311" s="195" t="s">
        <v>554</v>
      </c>
      <c r="C311" s="195" t="s">
        <v>533</v>
      </c>
      <c r="D311" s="196" t="s">
        <v>760</v>
      </c>
      <c r="E311" s="195">
        <v>300</v>
      </c>
      <c r="F311" s="488">
        <v>6119254</v>
      </c>
      <c r="G311" s="488">
        <v>6326257</v>
      </c>
    </row>
    <row r="312" spans="1:7" ht="54" customHeight="1">
      <c r="A312" s="390" t="s">
        <v>933</v>
      </c>
      <c r="B312" s="195" t="s">
        <v>554</v>
      </c>
      <c r="C312" s="195" t="s">
        <v>533</v>
      </c>
      <c r="D312" s="148" t="s">
        <v>916</v>
      </c>
      <c r="E312" s="147"/>
      <c r="F312" s="488">
        <f>F313</f>
        <v>4228092</v>
      </c>
      <c r="G312" s="488">
        <f>G313</f>
        <v>2114046</v>
      </c>
    </row>
    <row r="313" spans="1:7" ht="66.75" customHeight="1">
      <c r="A313" s="390" t="s">
        <v>909</v>
      </c>
      <c r="B313" s="195" t="s">
        <v>554</v>
      </c>
      <c r="C313" s="195" t="s">
        <v>533</v>
      </c>
      <c r="D313" s="148" t="s">
        <v>917</v>
      </c>
      <c r="E313" s="147"/>
      <c r="F313" s="488">
        <f>F314</f>
        <v>4228092</v>
      </c>
      <c r="G313" s="488">
        <f>G314</f>
        <v>2114046</v>
      </c>
    </row>
    <row r="314" spans="1:7" ht="38.25">
      <c r="A314" s="390" t="s">
        <v>221</v>
      </c>
      <c r="B314" s="195" t="s">
        <v>554</v>
      </c>
      <c r="C314" s="195" t="s">
        <v>533</v>
      </c>
      <c r="D314" s="148" t="s">
        <v>917</v>
      </c>
      <c r="E314" s="147">
        <v>400</v>
      </c>
      <c r="F314" s="488">
        <v>4228092</v>
      </c>
      <c r="G314" s="488">
        <v>2114046</v>
      </c>
    </row>
    <row r="315" spans="1:7" ht="39.75" customHeight="1">
      <c r="A315" s="211" t="s">
        <v>277</v>
      </c>
      <c r="B315" s="195">
        <v>10</v>
      </c>
      <c r="C315" s="195" t="s">
        <v>533</v>
      </c>
      <c r="D315" s="196" t="s">
        <v>557</v>
      </c>
      <c r="E315" s="195"/>
      <c r="F315" s="571">
        <f aca="true" t="shared" si="20" ref="F315:G317">F316</f>
        <v>5116098</v>
      </c>
      <c r="G315" s="571">
        <f t="shared" si="20"/>
        <v>5116098</v>
      </c>
    </row>
    <row r="316" spans="1:7" ht="51.75" customHeight="1">
      <c r="A316" s="4" t="s">
        <v>278</v>
      </c>
      <c r="B316" s="195">
        <v>10</v>
      </c>
      <c r="C316" s="195" t="s">
        <v>533</v>
      </c>
      <c r="D316" s="199" t="s">
        <v>558</v>
      </c>
      <c r="E316" s="195"/>
      <c r="F316" s="571">
        <f t="shared" si="20"/>
        <v>5116098</v>
      </c>
      <c r="G316" s="571">
        <f t="shared" si="20"/>
        <v>5116098</v>
      </c>
    </row>
    <row r="317" spans="1:7" ht="25.5">
      <c r="A317" s="11" t="s">
        <v>457</v>
      </c>
      <c r="B317" s="195">
        <v>10</v>
      </c>
      <c r="C317" s="195" t="s">
        <v>533</v>
      </c>
      <c r="D317" s="199" t="s">
        <v>131</v>
      </c>
      <c r="E317" s="195"/>
      <c r="F317" s="571">
        <f t="shared" si="20"/>
        <v>5116098</v>
      </c>
      <c r="G317" s="571">
        <f t="shared" si="20"/>
        <v>5116098</v>
      </c>
    </row>
    <row r="318" spans="1:7" ht="25.5">
      <c r="A318" s="5" t="s">
        <v>323</v>
      </c>
      <c r="B318" s="195">
        <v>10</v>
      </c>
      <c r="C318" s="195" t="s">
        <v>533</v>
      </c>
      <c r="D318" s="196" t="s">
        <v>243</v>
      </c>
      <c r="E318" s="195"/>
      <c r="F318" s="571">
        <f>SUM(F319:F320)</f>
        <v>5116098</v>
      </c>
      <c r="G318" s="571">
        <f>SUM(G319:G320)</f>
        <v>5116098</v>
      </c>
    </row>
    <row r="319" spans="1:7" ht="38.25">
      <c r="A319" s="5" t="s">
        <v>228</v>
      </c>
      <c r="B319" s="195">
        <v>10</v>
      </c>
      <c r="C319" s="195" t="s">
        <v>533</v>
      </c>
      <c r="D319" s="196" t="s">
        <v>243</v>
      </c>
      <c r="E319" s="195">
        <v>200</v>
      </c>
      <c r="F319" s="488">
        <v>20382</v>
      </c>
      <c r="G319" s="488">
        <v>20382</v>
      </c>
    </row>
    <row r="320" spans="1:7" ht="25.5">
      <c r="A320" s="5" t="s">
        <v>81</v>
      </c>
      <c r="B320" s="195">
        <v>10</v>
      </c>
      <c r="C320" s="195" t="s">
        <v>533</v>
      </c>
      <c r="D320" s="196" t="s">
        <v>243</v>
      </c>
      <c r="E320" s="195">
        <v>300</v>
      </c>
      <c r="F320" s="488">
        <v>5095716</v>
      </c>
      <c r="G320" s="488">
        <v>5095716</v>
      </c>
    </row>
    <row r="321" spans="1:7" ht="25.5">
      <c r="A321" s="214" t="s">
        <v>573</v>
      </c>
      <c r="B321" s="213" t="s">
        <v>554</v>
      </c>
      <c r="C321" s="213" t="s">
        <v>534</v>
      </c>
      <c r="D321" s="213" t="s">
        <v>87</v>
      </c>
      <c r="E321" s="213" t="s">
        <v>87</v>
      </c>
      <c r="F321" s="571">
        <f>F322+F338</f>
        <v>4776500</v>
      </c>
      <c r="G321" s="571">
        <f>G322+G338</f>
        <v>4776500</v>
      </c>
    </row>
    <row r="322" spans="1:7" ht="38.25">
      <c r="A322" s="211" t="s">
        <v>162</v>
      </c>
      <c r="B322" s="195" t="s">
        <v>554</v>
      </c>
      <c r="C322" s="195" t="s">
        <v>534</v>
      </c>
      <c r="D322" s="196" t="s">
        <v>223</v>
      </c>
      <c r="E322" s="195" t="s">
        <v>87</v>
      </c>
      <c r="F322" s="571">
        <f>F323+F333</f>
        <v>4441800</v>
      </c>
      <c r="G322" s="571">
        <f>G323+G333</f>
        <v>4441800</v>
      </c>
    </row>
    <row r="323" spans="1:7" ht="69.75" customHeight="1">
      <c r="A323" s="4" t="s">
        <v>380</v>
      </c>
      <c r="B323" s="195" t="s">
        <v>554</v>
      </c>
      <c r="C323" s="195" t="s">
        <v>534</v>
      </c>
      <c r="D323" s="199" t="s">
        <v>6</v>
      </c>
      <c r="E323" s="198" t="s">
        <v>87</v>
      </c>
      <c r="F323" s="571">
        <f>F324</f>
        <v>3437700</v>
      </c>
      <c r="G323" s="571">
        <f>G324</f>
        <v>3437700</v>
      </c>
    </row>
    <row r="324" spans="1:7" ht="63.75">
      <c r="A324" s="11" t="s">
        <v>761</v>
      </c>
      <c r="B324" s="195" t="s">
        <v>554</v>
      </c>
      <c r="C324" s="195" t="s">
        <v>534</v>
      </c>
      <c r="D324" s="199" t="s">
        <v>762</v>
      </c>
      <c r="E324" s="198"/>
      <c r="F324" s="571">
        <f>F325+F329</f>
        <v>3437700</v>
      </c>
      <c r="G324" s="571">
        <f>G325+G329</f>
        <v>3437700</v>
      </c>
    </row>
    <row r="325" spans="1:7" ht="38.25">
      <c r="A325" s="198" t="s">
        <v>390</v>
      </c>
      <c r="B325" s="195" t="s">
        <v>554</v>
      </c>
      <c r="C325" s="195" t="s">
        <v>534</v>
      </c>
      <c r="D325" s="199" t="s">
        <v>763</v>
      </c>
      <c r="E325" s="195" t="s">
        <v>87</v>
      </c>
      <c r="F325" s="571">
        <f>SUM(F326:F328)</f>
        <v>2342900</v>
      </c>
      <c r="G325" s="571">
        <f>SUM(G326:G328)</f>
        <v>2342900</v>
      </c>
    </row>
    <row r="326" spans="1:7" ht="79.5" customHeight="1">
      <c r="A326" s="5" t="s">
        <v>735</v>
      </c>
      <c r="B326" s="195" t="s">
        <v>554</v>
      </c>
      <c r="C326" s="195" t="s">
        <v>534</v>
      </c>
      <c r="D326" s="199" t="s">
        <v>763</v>
      </c>
      <c r="E326" s="195">
        <v>100</v>
      </c>
      <c r="F326" s="488">
        <v>2232400</v>
      </c>
      <c r="G326" s="488">
        <v>2232400</v>
      </c>
    </row>
    <row r="327" spans="1:7" ht="38.25">
      <c r="A327" s="5" t="s">
        <v>228</v>
      </c>
      <c r="B327" s="195" t="s">
        <v>554</v>
      </c>
      <c r="C327" s="195" t="s">
        <v>534</v>
      </c>
      <c r="D327" s="199" t="s">
        <v>763</v>
      </c>
      <c r="E327" s="198">
        <v>200</v>
      </c>
      <c r="F327" s="488">
        <v>110000</v>
      </c>
      <c r="G327" s="488">
        <v>110000</v>
      </c>
    </row>
    <row r="328" spans="1:7" ht="12.75">
      <c r="A328" s="5" t="s">
        <v>77</v>
      </c>
      <c r="B328" s="195" t="s">
        <v>554</v>
      </c>
      <c r="C328" s="195" t="s">
        <v>534</v>
      </c>
      <c r="D328" s="199" t="s">
        <v>763</v>
      </c>
      <c r="E328" s="198">
        <v>800</v>
      </c>
      <c r="F328" s="488">
        <v>500</v>
      </c>
      <c r="G328" s="488">
        <v>500</v>
      </c>
    </row>
    <row r="329" spans="1:7" ht="63.75">
      <c r="A329" s="159" t="s">
        <v>710</v>
      </c>
      <c r="B329" s="195" t="s">
        <v>554</v>
      </c>
      <c r="C329" s="195" t="s">
        <v>534</v>
      </c>
      <c r="D329" s="196" t="s">
        <v>333</v>
      </c>
      <c r="E329" s="198"/>
      <c r="F329" s="488">
        <f>F330+F331+F332</f>
        <v>1094800</v>
      </c>
      <c r="G329" s="488">
        <f>G330+G331+G332</f>
        <v>1094800</v>
      </c>
    </row>
    <row r="330" spans="1:7" ht="78" customHeight="1">
      <c r="A330" s="5" t="s">
        <v>735</v>
      </c>
      <c r="B330" s="195" t="s">
        <v>554</v>
      </c>
      <c r="C330" s="195" t="s">
        <v>534</v>
      </c>
      <c r="D330" s="196" t="s">
        <v>333</v>
      </c>
      <c r="E330" s="198">
        <v>100</v>
      </c>
      <c r="F330" s="488">
        <v>982100</v>
      </c>
      <c r="G330" s="488">
        <v>982100</v>
      </c>
    </row>
    <row r="331" spans="1:7" ht="38.25">
      <c r="A331" s="5" t="s">
        <v>228</v>
      </c>
      <c r="B331" s="195" t="s">
        <v>554</v>
      </c>
      <c r="C331" s="195" t="s">
        <v>534</v>
      </c>
      <c r="D331" s="196" t="s">
        <v>333</v>
      </c>
      <c r="E331" s="198">
        <v>200</v>
      </c>
      <c r="F331" s="488">
        <v>112200</v>
      </c>
      <c r="G331" s="488">
        <v>112200</v>
      </c>
    </row>
    <row r="332" spans="1:7" ht="12.75">
      <c r="A332" s="193" t="s">
        <v>77</v>
      </c>
      <c r="B332" s="191" t="s">
        <v>554</v>
      </c>
      <c r="C332" s="191" t="s">
        <v>534</v>
      </c>
      <c r="D332" s="192" t="s">
        <v>333</v>
      </c>
      <c r="E332" s="217">
        <v>800</v>
      </c>
      <c r="F332" s="574">
        <v>500</v>
      </c>
      <c r="G332" s="574">
        <v>500</v>
      </c>
    </row>
    <row r="333" spans="1:7" ht="74.25" customHeight="1">
      <c r="A333" s="4" t="s">
        <v>172</v>
      </c>
      <c r="B333" s="195" t="s">
        <v>554</v>
      </c>
      <c r="C333" s="195" t="s">
        <v>534</v>
      </c>
      <c r="D333" s="195" t="s">
        <v>7</v>
      </c>
      <c r="E333" s="198" t="s">
        <v>87</v>
      </c>
      <c r="F333" s="571">
        <f>F334</f>
        <v>1004100</v>
      </c>
      <c r="G333" s="571">
        <f>G334</f>
        <v>1004100</v>
      </c>
    </row>
    <row r="334" spans="1:7" ht="53.25" customHeight="1">
      <c r="A334" s="5" t="s">
        <v>588</v>
      </c>
      <c r="B334" s="195" t="s">
        <v>554</v>
      </c>
      <c r="C334" s="195" t="s">
        <v>534</v>
      </c>
      <c r="D334" s="195" t="s">
        <v>595</v>
      </c>
      <c r="E334" s="198"/>
      <c r="F334" s="571">
        <f>F335</f>
        <v>1004100</v>
      </c>
      <c r="G334" s="571">
        <f>G335</f>
        <v>1004100</v>
      </c>
    </row>
    <row r="335" spans="1:7" ht="54.75" customHeight="1">
      <c r="A335" s="198" t="s">
        <v>282</v>
      </c>
      <c r="B335" s="195" t="s">
        <v>554</v>
      </c>
      <c r="C335" s="195" t="s">
        <v>534</v>
      </c>
      <c r="D335" s="196" t="s">
        <v>452</v>
      </c>
      <c r="E335" s="195"/>
      <c r="F335" s="571">
        <f>SUM(F336:F337)</f>
        <v>1004100</v>
      </c>
      <c r="G335" s="571">
        <f>SUM(G336:G337)</f>
        <v>1004100</v>
      </c>
    </row>
    <row r="336" spans="1:7" ht="77.25" customHeight="1">
      <c r="A336" s="5" t="s">
        <v>735</v>
      </c>
      <c r="B336" s="195" t="s">
        <v>554</v>
      </c>
      <c r="C336" s="195" t="s">
        <v>534</v>
      </c>
      <c r="D336" s="196" t="s">
        <v>452</v>
      </c>
      <c r="E336" s="195">
        <v>100</v>
      </c>
      <c r="F336" s="483">
        <v>967900</v>
      </c>
      <c r="G336" s="483">
        <v>967900</v>
      </c>
    </row>
    <row r="337" spans="1:7" ht="38.25">
      <c r="A337" s="5" t="s">
        <v>228</v>
      </c>
      <c r="B337" s="195" t="s">
        <v>554</v>
      </c>
      <c r="C337" s="195" t="s">
        <v>534</v>
      </c>
      <c r="D337" s="196" t="s">
        <v>452</v>
      </c>
      <c r="E337" s="195" t="s">
        <v>74</v>
      </c>
      <c r="F337" s="483">
        <v>36200</v>
      </c>
      <c r="G337" s="483">
        <v>36200</v>
      </c>
    </row>
    <row r="338" spans="1:7" ht="76.5">
      <c r="A338" s="211" t="s">
        <v>296</v>
      </c>
      <c r="B338" s="195" t="s">
        <v>554</v>
      </c>
      <c r="C338" s="195" t="s">
        <v>534</v>
      </c>
      <c r="D338" s="195" t="s">
        <v>12</v>
      </c>
      <c r="E338" s="195"/>
      <c r="F338" s="571">
        <f aca="true" t="shared" si="21" ref="F338:G340">F339</f>
        <v>334700</v>
      </c>
      <c r="G338" s="571">
        <f t="shared" si="21"/>
        <v>334700</v>
      </c>
    </row>
    <row r="339" spans="1:7" ht="90.75" customHeight="1">
      <c r="A339" s="368" t="s">
        <v>297</v>
      </c>
      <c r="B339" s="195" t="s">
        <v>554</v>
      </c>
      <c r="C339" s="195" t="s">
        <v>534</v>
      </c>
      <c r="D339" s="195" t="s">
        <v>13</v>
      </c>
      <c r="E339" s="195"/>
      <c r="F339" s="571">
        <f t="shared" si="21"/>
        <v>334700</v>
      </c>
      <c r="G339" s="571">
        <f t="shared" si="21"/>
        <v>334700</v>
      </c>
    </row>
    <row r="340" spans="1:7" ht="38.25">
      <c r="A340" s="5" t="s">
        <v>286</v>
      </c>
      <c r="B340" s="195" t="s">
        <v>554</v>
      </c>
      <c r="C340" s="195" t="s">
        <v>534</v>
      </c>
      <c r="D340" s="195" t="s">
        <v>275</v>
      </c>
      <c r="E340" s="195"/>
      <c r="F340" s="571">
        <f t="shared" si="21"/>
        <v>334700</v>
      </c>
      <c r="G340" s="571">
        <f t="shared" si="21"/>
        <v>334700</v>
      </c>
    </row>
    <row r="341" spans="1:7" ht="63.75">
      <c r="A341" s="5" t="s">
        <v>109</v>
      </c>
      <c r="B341" s="195" t="s">
        <v>554</v>
      </c>
      <c r="C341" s="195" t="s">
        <v>534</v>
      </c>
      <c r="D341" s="195" t="s">
        <v>287</v>
      </c>
      <c r="E341" s="195"/>
      <c r="F341" s="571">
        <f>SUM(F342:F342)</f>
        <v>334700</v>
      </c>
      <c r="G341" s="571">
        <f>SUM(G342:G342)</f>
        <v>334700</v>
      </c>
    </row>
    <row r="342" spans="1:7" ht="79.5" customHeight="1">
      <c r="A342" s="5" t="s">
        <v>735</v>
      </c>
      <c r="B342" s="195" t="s">
        <v>554</v>
      </c>
      <c r="C342" s="195" t="s">
        <v>534</v>
      </c>
      <c r="D342" s="195" t="s">
        <v>287</v>
      </c>
      <c r="E342" s="195">
        <v>100</v>
      </c>
      <c r="F342" s="483">
        <v>334700</v>
      </c>
      <c r="G342" s="483">
        <v>334700</v>
      </c>
    </row>
    <row r="343" spans="1:7" ht="12.75">
      <c r="A343" s="174" t="s">
        <v>242</v>
      </c>
      <c r="B343" s="172" t="s">
        <v>536</v>
      </c>
      <c r="C343" s="216" t="s">
        <v>462</v>
      </c>
      <c r="D343" s="172" t="s">
        <v>87</v>
      </c>
      <c r="E343" s="172" t="s">
        <v>87</v>
      </c>
      <c r="F343" s="576">
        <f>F344</f>
        <v>50000</v>
      </c>
      <c r="G343" s="576">
        <f>G344</f>
        <v>46935</v>
      </c>
    </row>
    <row r="344" spans="1:7" ht="12.75">
      <c r="A344" s="214" t="s">
        <v>439</v>
      </c>
      <c r="B344" s="213" t="s">
        <v>536</v>
      </c>
      <c r="C344" s="213" t="s">
        <v>532</v>
      </c>
      <c r="D344" s="213" t="s">
        <v>87</v>
      </c>
      <c r="E344" s="213" t="s">
        <v>87</v>
      </c>
      <c r="F344" s="571">
        <f>F345</f>
        <v>50000</v>
      </c>
      <c r="G344" s="571">
        <f>G345</f>
        <v>46935</v>
      </c>
    </row>
    <row r="345" spans="1:7" ht="66" customHeight="1">
      <c r="A345" s="211" t="s">
        <v>438</v>
      </c>
      <c r="B345" s="195" t="s">
        <v>536</v>
      </c>
      <c r="C345" s="195" t="s">
        <v>532</v>
      </c>
      <c r="D345" s="196" t="s">
        <v>437</v>
      </c>
      <c r="E345" s="209" t="s">
        <v>87</v>
      </c>
      <c r="F345" s="571">
        <f aca="true" t="shared" si="22" ref="F345:G348">F346</f>
        <v>50000</v>
      </c>
      <c r="G345" s="571">
        <f t="shared" si="22"/>
        <v>46935</v>
      </c>
    </row>
    <row r="346" spans="1:7" ht="92.25" customHeight="1">
      <c r="A346" s="4" t="s">
        <v>436</v>
      </c>
      <c r="B346" s="195" t="s">
        <v>536</v>
      </c>
      <c r="C346" s="195" t="s">
        <v>532</v>
      </c>
      <c r="D346" s="196" t="s">
        <v>248</v>
      </c>
      <c r="E346" s="210" t="s">
        <v>87</v>
      </c>
      <c r="F346" s="571">
        <f t="shared" si="22"/>
        <v>50000</v>
      </c>
      <c r="G346" s="571">
        <f t="shared" si="22"/>
        <v>46935</v>
      </c>
    </row>
    <row r="347" spans="1:7" ht="76.5">
      <c r="A347" s="12" t="s">
        <v>247</v>
      </c>
      <c r="B347" s="195" t="s">
        <v>536</v>
      </c>
      <c r="C347" s="195" t="s">
        <v>532</v>
      </c>
      <c r="D347" s="196" t="s">
        <v>246</v>
      </c>
      <c r="E347" s="210"/>
      <c r="F347" s="571">
        <f t="shared" si="22"/>
        <v>50000</v>
      </c>
      <c r="G347" s="571">
        <f t="shared" si="22"/>
        <v>46935</v>
      </c>
    </row>
    <row r="348" spans="1:7" ht="65.25" customHeight="1">
      <c r="A348" s="12" t="s">
        <v>245</v>
      </c>
      <c r="B348" s="195" t="s">
        <v>536</v>
      </c>
      <c r="C348" s="195" t="s">
        <v>532</v>
      </c>
      <c r="D348" s="196" t="s">
        <v>244</v>
      </c>
      <c r="E348" s="210"/>
      <c r="F348" s="571">
        <f t="shared" si="22"/>
        <v>50000</v>
      </c>
      <c r="G348" s="571">
        <f t="shared" si="22"/>
        <v>46935</v>
      </c>
    </row>
    <row r="349" spans="1:7" ht="38.25">
      <c r="A349" s="193" t="s">
        <v>228</v>
      </c>
      <c r="B349" s="191" t="s">
        <v>536</v>
      </c>
      <c r="C349" s="191" t="s">
        <v>532</v>
      </c>
      <c r="D349" s="192" t="s">
        <v>244</v>
      </c>
      <c r="E349" s="217">
        <v>200</v>
      </c>
      <c r="F349" s="574">
        <v>50000</v>
      </c>
      <c r="G349" s="574">
        <v>46935</v>
      </c>
    </row>
    <row r="350" spans="1:7" ht="25.5">
      <c r="A350" s="174" t="s">
        <v>75</v>
      </c>
      <c r="B350" s="172" t="s">
        <v>100</v>
      </c>
      <c r="C350" s="216" t="s">
        <v>462</v>
      </c>
      <c r="D350" s="172" t="s">
        <v>87</v>
      </c>
      <c r="E350" s="172" t="s">
        <v>87</v>
      </c>
      <c r="F350" s="576">
        <f aca="true" t="shared" si="23" ref="F350:G355">F351</f>
        <v>55000</v>
      </c>
      <c r="G350" s="576">
        <f t="shared" si="23"/>
        <v>51628</v>
      </c>
    </row>
    <row r="351" spans="1:7" ht="25.5">
      <c r="A351" s="214" t="s">
        <v>76</v>
      </c>
      <c r="B351" s="213" t="s">
        <v>100</v>
      </c>
      <c r="C351" s="213" t="s">
        <v>530</v>
      </c>
      <c r="D351" s="212" t="s">
        <v>87</v>
      </c>
      <c r="E351" s="212" t="s">
        <v>87</v>
      </c>
      <c r="F351" s="571">
        <f t="shared" si="23"/>
        <v>55000</v>
      </c>
      <c r="G351" s="571">
        <f t="shared" si="23"/>
        <v>51628</v>
      </c>
    </row>
    <row r="352" spans="1:7" ht="38.25">
      <c r="A352" s="211" t="s">
        <v>171</v>
      </c>
      <c r="B352" s="195" t="s">
        <v>100</v>
      </c>
      <c r="C352" s="195" t="s">
        <v>530</v>
      </c>
      <c r="D352" s="196" t="s">
        <v>693</v>
      </c>
      <c r="E352" s="209" t="s">
        <v>87</v>
      </c>
      <c r="F352" s="571">
        <f t="shared" si="23"/>
        <v>55000</v>
      </c>
      <c r="G352" s="571">
        <f t="shared" si="23"/>
        <v>51628</v>
      </c>
    </row>
    <row r="353" spans="1:7" ht="57" customHeight="1">
      <c r="A353" s="4" t="s">
        <v>391</v>
      </c>
      <c r="B353" s="195" t="s">
        <v>100</v>
      </c>
      <c r="C353" s="195" t="s">
        <v>530</v>
      </c>
      <c r="D353" s="196" t="s">
        <v>119</v>
      </c>
      <c r="E353" s="210" t="s">
        <v>87</v>
      </c>
      <c r="F353" s="571">
        <f t="shared" si="23"/>
        <v>55000</v>
      </c>
      <c r="G353" s="571">
        <f t="shared" si="23"/>
        <v>51628</v>
      </c>
    </row>
    <row r="354" spans="1:7" ht="63.75">
      <c r="A354" s="7" t="s">
        <v>118</v>
      </c>
      <c r="B354" s="195" t="s">
        <v>100</v>
      </c>
      <c r="C354" s="195" t="s">
        <v>530</v>
      </c>
      <c r="D354" s="196" t="s">
        <v>120</v>
      </c>
      <c r="E354" s="210"/>
      <c r="F354" s="571">
        <f t="shared" si="23"/>
        <v>55000</v>
      </c>
      <c r="G354" s="571">
        <f t="shared" si="23"/>
        <v>51628</v>
      </c>
    </row>
    <row r="355" spans="1:7" ht="12.75">
      <c r="A355" s="12" t="s">
        <v>121</v>
      </c>
      <c r="B355" s="195" t="s">
        <v>100</v>
      </c>
      <c r="C355" s="195" t="s">
        <v>530</v>
      </c>
      <c r="D355" s="196" t="s">
        <v>122</v>
      </c>
      <c r="E355" s="209" t="s">
        <v>87</v>
      </c>
      <c r="F355" s="571">
        <f t="shared" si="23"/>
        <v>55000</v>
      </c>
      <c r="G355" s="571">
        <f t="shared" si="23"/>
        <v>51628</v>
      </c>
    </row>
    <row r="356" spans="1:7" ht="25.5">
      <c r="A356" s="233" t="s">
        <v>493</v>
      </c>
      <c r="B356" s="312" t="s">
        <v>100</v>
      </c>
      <c r="C356" s="312" t="s">
        <v>530</v>
      </c>
      <c r="D356" s="313" t="s">
        <v>122</v>
      </c>
      <c r="E356" s="312" t="s">
        <v>82</v>
      </c>
      <c r="F356" s="577">
        <v>55000</v>
      </c>
      <c r="G356" s="577">
        <v>51628</v>
      </c>
    </row>
    <row r="357" spans="1:7" ht="12.75">
      <c r="A357" s="314" t="s">
        <v>764</v>
      </c>
      <c r="B357" s="315"/>
      <c r="C357" s="315"/>
      <c r="D357" s="316"/>
      <c r="E357" s="317"/>
      <c r="F357" s="578">
        <v>4301916</v>
      </c>
      <c r="G357" s="578">
        <f>9468328+353755</f>
        <v>9822083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67"/>
  <sheetViews>
    <sheetView showGridLines="0" zoomScaleSheetLayoutView="100" zoomScalePageLayoutView="0" workbookViewId="0" topLeftCell="A34">
      <selection activeCell="G377" sqref="G377"/>
    </sheetView>
  </sheetViews>
  <sheetFormatPr defaultColWidth="9.140625" defaultRowHeight="12.75"/>
  <cols>
    <col min="1" max="1" width="48.140625" style="140" customWidth="1"/>
    <col min="2" max="2" width="5.140625" style="140" customWidth="1"/>
    <col min="3" max="4" width="3.8515625" style="140" customWidth="1"/>
    <col min="5" max="5" width="13.28125" style="140" customWidth="1"/>
    <col min="6" max="6" width="4.57421875" style="140" customWidth="1"/>
    <col min="7" max="7" width="14.421875" style="141" customWidth="1"/>
    <col min="8" max="8" width="10.8515625" style="189" customWidth="1"/>
    <col min="9" max="16384" width="9.140625" style="140" customWidth="1"/>
  </cols>
  <sheetData>
    <row r="1" spans="1:8" ht="12.75">
      <c r="A1" s="187"/>
      <c r="B1" s="250"/>
      <c r="C1" s="248"/>
      <c r="D1" s="248"/>
      <c r="E1" s="248"/>
      <c r="F1" s="248"/>
      <c r="G1" s="188" t="s">
        <v>358</v>
      </c>
      <c r="H1" s="140"/>
    </row>
    <row r="2" spans="1:8" ht="12.75">
      <c r="A2" s="187"/>
      <c r="B2" s="250"/>
      <c r="C2" s="248"/>
      <c r="D2" s="248"/>
      <c r="E2" s="248"/>
      <c r="F2" s="248"/>
      <c r="G2" s="27" t="s">
        <v>263</v>
      </c>
      <c r="H2" s="140"/>
    </row>
    <row r="3" spans="1:8" ht="12.75">
      <c r="A3" s="187"/>
      <c r="B3" s="496" t="s">
        <v>1018</v>
      </c>
      <c r="C3" s="497"/>
      <c r="D3" s="497"/>
      <c r="E3" s="497"/>
      <c r="F3" s="497"/>
      <c r="G3" s="497"/>
      <c r="H3" s="140"/>
    </row>
    <row r="4" spans="1:8" ht="12.75">
      <c r="A4" s="186"/>
      <c r="B4" s="249"/>
      <c r="C4" s="248"/>
      <c r="D4" s="248"/>
      <c r="E4" s="248"/>
      <c r="F4" s="248"/>
      <c r="G4" s="247"/>
      <c r="H4" s="140"/>
    </row>
    <row r="5" spans="1:8" ht="12.75">
      <c r="A5" s="184" t="s">
        <v>918</v>
      </c>
      <c r="B5" s="246"/>
      <c r="C5" s="246"/>
      <c r="D5" s="246"/>
      <c r="E5" s="246"/>
      <c r="F5" s="246"/>
      <c r="G5" s="183"/>
      <c r="H5" s="140"/>
    </row>
    <row r="6" spans="1:8" ht="12.75">
      <c r="A6" s="182"/>
      <c r="B6" s="245"/>
      <c r="C6" s="245"/>
      <c r="D6" s="245"/>
      <c r="E6" s="245"/>
      <c r="F6" s="245"/>
      <c r="G6" s="181" t="s">
        <v>88</v>
      </c>
      <c r="H6" s="140"/>
    </row>
    <row r="7" spans="1:8" ht="12.75">
      <c r="A7" s="244" t="s">
        <v>84</v>
      </c>
      <c r="B7" s="243" t="s">
        <v>106</v>
      </c>
      <c r="C7" s="243" t="s">
        <v>523</v>
      </c>
      <c r="D7" s="243" t="s">
        <v>524</v>
      </c>
      <c r="E7" s="243" t="s">
        <v>525</v>
      </c>
      <c r="F7" s="243" t="s">
        <v>526</v>
      </c>
      <c r="G7" s="242" t="s">
        <v>290</v>
      </c>
      <c r="H7" s="140"/>
    </row>
    <row r="8" spans="1:8" ht="12.75">
      <c r="A8" s="179" t="s">
        <v>72</v>
      </c>
      <c r="B8" s="179"/>
      <c r="C8" s="179" t="s">
        <v>85</v>
      </c>
      <c r="D8" s="179" t="s">
        <v>73</v>
      </c>
      <c r="E8" s="179" t="s">
        <v>527</v>
      </c>
      <c r="F8" s="179" t="s">
        <v>528</v>
      </c>
      <c r="G8" s="178" t="s">
        <v>529</v>
      </c>
      <c r="H8" s="241"/>
    </row>
    <row r="9" spans="1:10" ht="12.75">
      <c r="A9" s="177" t="s">
        <v>89</v>
      </c>
      <c r="B9" s="177"/>
      <c r="C9" s="176" t="s">
        <v>87</v>
      </c>
      <c r="D9" s="176" t="s">
        <v>87</v>
      </c>
      <c r="E9" s="176" t="s">
        <v>87</v>
      </c>
      <c r="F9" s="176" t="s">
        <v>87</v>
      </c>
      <c r="G9" s="175">
        <f>G10+G209+G369+G459</f>
        <v>749239034.1</v>
      </c>
      <c r="H9" s="65"/>
      <c r="I9" s="65"/>
      <c r="J9" s="65"/>
    </row>
    <row r="10" spans="1:7" ht="12.75">
      <c r="A10" s="208" t="s">
        <v>324</v>
      </c>
      <c r="B10" s="240" t="s">
        <v>574</v>
      </c>
      <c r="C10" s="128"/>
      <c r="D10" s="128"/>
      <c r="E10" s="128"/>
      <c r="F10" s="128"/>
      <c r="G10" s="239">
        <f>G11+G83+G89+G103+G146+G215+G313+G330+G336+G362</f>
        <v>679115318.1</v>
      </c>
    </row>
    <row r="11" spans="1:7" ht="12.75">
      <c r="A11" s="174" t="s">
        <v>593</v>
      </c>
      <c r="B11" s="174"/>
      <c r="C11" s="172" t="s">
        <v>530</v>
      </c>
      <c r="D11" s="173" t="s">
        <v>462</v>
      </c>
      <c r="E11" s="172" t="s">
        <v>87</v>
      </c>
      <c r="F11" s="172" t="s">
        <v>87</v>
      </c>
      <c r="G11" s="171">
        <f>G12+G17+G34+G39+G24+G29</f>
        <v>48337780.5</v>
      </c>
    </row>
    <row r="12" spans="1:8" ht="38.25">
      <c r="A12" s="214" t="s">
        <v>531</v>
      </c>
      <c r="B12" s="214"/>
      <c r="C12" s="213" t="s">
        <v>530</v>
      </c>
      <c r="D12" s="213" t="s">
        <v>532</v>
      </c>
      <c r="E12" s="213" t="s">
        <v>87</v>
      </c>
      <c r="F12" s="213" t="s">
        <v>87</v>
      </c>
      <c r="G12" s="197">
        <f>G13</f>
        <v>359440</v>
      </c>
      <c r="H12" s="140"/>
    </row>
    <row r="13" spans="1:8" ht="25.5">
      <c r="A13" s="5" t="s">
        <v>583</v>
      </c>
      <c r="B13" s="5"/>
      <c r="C13" s="195" t="s">
        <v>530</v>
      </c>
      <c r="D13" s="195" t="s">
        <v>532</v>
      </c>
      <c r="E13" s="195" t="s">
        <v>686</v>
      </c>
      <c r="F13" s="195" t="s">
        <v>87</v>
      </c>
      <c r="G13" s="197">
        <f>G14</f>
        <v>359440</v>
      </c>
      <c r="H13" s="140"/>
    </row>
    <row r="14" spans="1:8" ht="12.75">
      <c r="A14" s="5" t="s">
        <v>357</v>
      </c>
      <c r="B14" s="5"/>
      <c r="C14" s="195" t="s">
        <v>530</v>
      </c>
      <c r="D14" s="195" t="s">
        <v>532</v>
      </c>
      <c r="E14" s="195" t="s">
        <v>687</v>
      </c>
      <c r="F14" s="198" t="s">
        <v>87</v>
      </c>
      <c r="G14" s="197">
        <f>G15</f>
        <v>359440</v>
      </c>
      <c r="H14" s="140"/>
    </row>
    <row r="15" spans="1:8" ht="25.5">
      <c r="A15" s="198" t="s">
        <v>731</v>
      </c>
      <c r="B15" s="198"/>
      <c r="C15" s="195" t="s">
        <v>530</v>
      </c>
      <c r="D15" s="195" t="s">
        <v>532</v>
      </c>
      <c r="E15" s="195" t="s">
        <v>688</v>
      </c>
      <c r="F15" s="195" t="s">
        <v>87</v>
      </c>
      <c r="G15" s="197">
        <f>G16</f>
        <v>359440</v>
      </c>
      <c r="H15" s="140"/>
    </row>
    <row r="16" spans="1:8" ht="63.75">
      <c r="A16" s="5" t="s">
        <v>735</v>
      </c>
      <c r="B16" s="5"/>
      <c r="C16" s="195" t="s">
        <v>530</v>
      </c>
      <c r="D16" s="195" t="s">
        <v>532</v>
      </c>
      <c r="E16" s="195" t="s">
        <v>688</v>
      </c>
      <c r="F16" s="195" t="s">
        <v>592</v>
      </c>
      <c r="G16" s="194">
        <f>363778-4338</f>
        <v>359440</v>
      </c>
      <c r="H16" s="140"/>
    </row>
    <row r="17" spans="1:8" ht="51">
      <c r="A17" s="214" t="s">
        <v>721</v>
      </c>
      <c r="B17" s="214"/>
      <c r="C17" s="213" t="s">
        <v>530</v>
      </c>
      <c r="D17" s="213" t="s">
        <v>533</v>
      </c>
      <c r="E17" s="213" t="s">
        <v>87</v>
      </c>
      <c r="F17" s="213" t="s">
        <v>87</v>
      </c>
      <c r="G17" s="197">
        <f>G18</f>
        <v>13489682</v>
      </c>
      <c r="H17" s="140"/>
    </row>
    <row r="18" spans="1:8" ht="25.5">
      <c r="A18" s="5" t="s">
        <v>469</v>
      </c>
      <c r="B18" s="5"/>
      <c r="C18" s="195" t="s">
        <v>530</v>
      </c>
      <c r="D18" s="195" t="s">
        <v>533</v>
      </c>
      <c r="E18" s="195" t="s">
        <v>689</v>
      </c>
      <c r="F18" s="195" t="s">
        <v>87</v>
      </c>
      <c r="G18" s="197">
        <f>G19</f>
        <v>13489682</v>
      </c>
      <c r="H18" s="140"/>
    </row>
    <row r="19" spans="1:8" ht="25.5">
      <c r="A19" s="5" t="s">
        <v>473</v>
      </c>
      <c r="B19" s="5"/>
      <c r="C19" s="195" t="s">
        <v>530</v>
      </c>
      <c r="D19" s="195" t="s">
        <v>533</v>
      </c>
      <c r="E19" s="195" t="s">
        <v>690</v>
      </c>
      <c r="F19" s="198" t="s">
        <v>87</v>
      </c>
      <c r="G19" s="197">
        <f>G20</f>
        <v>13489682</v>
      </c>
      <c r="H19" s="140"/>
    </row>
    <row r="20" spans="1:8" ht="25.5">
      <c r="A20" s="198" t="s">
        <v>731</v>
      </c>
      <c r="B20" s="198"/>
      <c r="C20" s="195" t="s">
        <v>530</v>
      </c>
      <c r="D20" s="195" t="s">
        <v>533</v>
      </c>
      <c r="E20" s="195" t="s">
        <v>692</v>
      </c>
      <c r="F20" s="195" t="s">
        <v>87</v>
      </c>
      <c r="G20" s="197">
        <f>SUM(G21:G23)</f>
        <v>13489682</v>
      </c>
      <c r="H20" s="140"/>
    </row>
    <row r="21" spans="1:8" ht="63.75">
      <c r="A21" s="5" t="s">
        <v>735</v>
      </c>
      <c r="B21" s="5"/>
      <c r="C21" s="195" t="s">
        <v>530</v>
      </c>
      <c r="D21" s="195" t="s">
        <v>533</v>
      </c>
      <c r="E21" s="195" t="s">
        <v>692</v>
      </c>
      <c r="F21" s="195">
        <v>100</v>
      </c>
      <c r="G21" s="194">
        <v>12212368</v>
      </c>
      <c r="H21" s="140"/>
    </row>
    <row r="22" spans="1:8" ht="25.5">
      <c r="A22" s="5" t="s">
        <v>228</v>
      </c>
      <c r="B22" s="5"/>
      <c r="C22" s="195" t="s">
        <v>530</v>
      </c>
      <c r="D22" s="195" t="s">
        <v>533</v>
      </c>
      <c r="E22" s="195" t="s">
        <v>692</v>
      </c>
      <c r="F22" s="195">
        <v>200</v>
      </c>
      <c r="G22" s="194">
        <v>1153128</v>
      </c>
      <c r="H22" s="140"/>
    </row>
    <row r="23" spans="1:8" ht="12.75">
      <c r="A23" s="5" t="s">
        <v>77</v>
      </c>
      <c r="B23" s="5"/>
      <c r="C23" s="195" t="s">
        <v>530</v>
      </c>
      <c r="D23" s="195" t="s">
        <v>533</v>
      </c>
      <c r="E23" s="195" t="s">
        <v>692</v>
      </c>
      <c r="F23" s="195">
        <v>800</v>
      </c>
      <c r="G23" s="194">
        <f>123186+1000</f>
        <v>124186</v>
      </c>
      <c r="H23" s="140"/>
    </row>
    <row r="24" spans="1:8" ht="12.75">
      <c r="A24" s="303" t="s">
        <v>866</v>
      </c>
      <c r="B24" s="5"/>
      <c r="C24" s="147" t="s">
        <v>530</v>
      </c>
      <c r="D24" s="163" t="s">
        <v>653</v>
      </c>
      <c r="E24" s="147"/>
      <c r="F24" s="147"/>
      <c r="G24" s="194">
        <f>G25</f>
        <v>41201</v>
      </c>
      <c r="H24" s="140"/>
    </row>
    <row r="25" spans="1:8" ht="25.5">
      <c r="A25" s="304" t="s">
        <v>626</v>
      </c>
      <c r="B25" s="5"/>
      <c r="C25" s="147" t="s">
        <v>530</v>
      </c>
      <c r="D25" s="163" t="s">
        <v>653</v>
      </c>
      <c r="E25" s="165" t="s">
        <v>14</v>
      </c>
      <c r="F25" s="164"/>
      <c r="G25" s="194">
        <f>G26</f>
        <v>41201</v>
      </c>
      <c r="H25" s="140"/>
    </row>
    <row r="26" spans="1:8" ht="25.5">
      <c r="A26" s="305" t="s">
        <v>636</v>
      </c>
      <c r="B26" s="5"/>
      <c r="C26" s="147" t="s">
        <v>530</v>
      </c>
      <c r="D26" s="163" t="s">
        <v>653</v>
      </c>
      <c r="E26" s="165" t="s">
        <v>16</v>
      </c>
      <c r="F26" s="164"/>
      <c r="G26" s="194">
        <f>G27</f>
        <v>41201</v>
      </c>
      <c r="H26" s="140"/>
    </row>
    <row r="27" spans="1:8" ht="51">
      <c r="A27" s="305" t="s">
        <v>867</v>
      </c>
      <c r="B27" s="5"/>
      <c r="C27" s="147" t="s">
        <v>530</v>
      </c>
      <c r="D27" s="163" t="s">
        <v>653</v>
      </c>
      <c r="E27" s="165" t="s">
        <v>868</v>
      </c>
      <c r="F27" s="164"/>
      <c r="G27" s="194">
        <f>G28</f>
        <v>41201</v>
      </c>
      <c r="H27" s="140"/>
    </row>
    <row r="28" spans="1:8" ht="25.5">
      <c r="A28" s="303" t="s">
        <v>228</v>
      </c>
      <c r="B28" s="5"/>
      <c r="C28" s="147" t="s">
        <v>530</v>
      </c>
      <c r="D28" s="163" t="s">
        <v>653</v>
      </c>
      <c r="E28" s="165" t="s">
        <v>868</v>
      </c>
      <c r="F28" s="164">
        <v>200</v>
      </c>
      <c r="G28" s="194">
        <v>41201</v>
      </c>
      <c r="H28" s="140"/>
    </row>
    <row r="29" spans="1:8" ht="12.75">
      <c r="A29" s="159" t="s">
        <v>943</v>
      </c>
      <c r="B29" s="5"/>
      <c r="C29" s="147" t="s">
        <v>530</v>
      </c>
      <c r="D29" s="147" t="s">
        <v>654</v>
      </c>
      <c r="E29" s="148"/>
      <c r="F29" s="147"/>
      <c r="G29" s="158">
        <f>G30</f>
        <v>1130750</v>
      </c>
      <c r="H29" s="140"/>
    </row>
    <row r="30" spans="1:8" ht="25.5">
      <c r="A30" s="159" t="s">
        <v>626</v>
      </c>
      <c r="B30" s="5"/>
      <c r="C30" s="147" t="s">
        <v>530</v>
      </c>
      <c r="D30" s="147" t="s">
        <v>654</v>
      </c>
      <c r="E30" s="148" t="s">
        <v>944</v>
      </c>
      <c r="F30" s="147"/>
      <c r="G30" s="158">
        <f>G31</f>
        <v>1130750</v>
      </c>
      <c r="H30" s="140"/>
    </row>
    <row r="31" spans="1:8" ht="16.5" customHeight="1">
      <c r="A31" s="159" t="s">
        <v>945</v>
      </c>
      <c r="B31" s="5"/>
      <c r="C31" s="147" t="s">
        <v>530</v>
      </c>
      <c r="D31" s="147" t="s">
        <v>654</v>
      </c>
      <c r="E31" s="148" t="s">
        <v>946</v>
      </c>
      <c r="F31" s="147"/>
      <c r="G31" s="158">
        <f>G32</f>
        <v>1130750</v>
      </c>
      <c r="H31" s="140"/>
    </row>
    <row r="32" spans="1:8" ht="12.75">
      <c r="A32" s="433" t="s">
        <v>947</v>
      </c>
      <c r="B32" s="5"/>
      <c r="C32" s="147" t="s">
        <v>530</v>
      </c>
      <c r="D32" s="147" t="s">
        <v>654</v>
      </c>
      <c r="E32" s="148" t="s">
        <v>948</v>
      </c>
      <c r="F32" s="147"/>
      <c r="G32" s="158">
        <f>G33</f>
        <v>1130750</v>
      </c>
      <c r="H32" s="140"/>
    </row>
    <row r="33" spans="1:8" ht="25.5">
      <c r="A33" s="159" t="s">
        <v>151</v>
      </c>
      <c r="B33" s="5"/>
      <c r="C33" s="147" t="s">
        <v>530</v>
      </c>
      <c r="D33" s="147" t="s">
        <v>654</v>
      </c>
      <c r="E33" s="148" t="s">
        <v>948</v>
      </c>
      <c r="F33" s="147">
        <v>800</v>
      </c>
      <c r="G33" s="158">
        <v>1130750</v>
      </c>
      <c r="H33" s="140"/>
    </row>
    <row r="34" spans="1:8" ht="12.75">
      <c r="A34" s="214" t="s">
        <v>535</v>
      </c>
      <c r="B34" s="214"/>
      <c r="C34" s="213" t="s">
        <v>530</v>
      </c>
      <c r="D34" s="213" t="s">
        <v>536</v>
      </c>
      <c r="E34" s="213" t="s">
        <v>87</v>
      </c>
      <c r="F34" s="213" t="s">
        <v>87</v>
      </c>
      <c r="G34" s="197">
        <f>G35</f>
        <v>300000</v>
      </c>
      <c r="H34" s="140"/>
    </row>
    <row r="35" spans="1:8" ht="25.5">
      <c r="A35" s="5" t="s">
        <v>174</v>
      </c>
      <c r="B35" s="5"/>
      <c r="C35" s="195" t="s">
        <v>530</v>
      </c>
      <c r="D35" s="195" t="s">
        <v>536</v>
      </c>
      <c r="E35" s="195" t="s">
        <v>699</v>
      </c>
      <c r="F35" s="195" t="s">
        <v>87</v>
      </c>
      <c r="G35" s="197">
        <f>G36</f>
        <v>300000</v>
      </c>
      <c r="H35" s="140"/>
    </row>
    <row r="36" spans="1:8" ht="12.75">
      <c r="A36" s="5" t="s">
        <v>535</v>
      </c>
      <c r="B36" s="5"/>
      <c r="C36" s="195" t="s">
        <v>530</v>
      </c>
      <c r="D36" s="195" t="s">
        <v>536</v>
      </c>
      <c r="E36" s="195" t="s">
        <v>700</v>
      </c>
      <c r="F36" s="198" t="s">
        <v>87</v>
      </c>
      <c r="G36" s="197">
        <f>G37</f>
        <v>300000</v>
      </c>
      <c r="H36" s="140"/>
    </row>
    <row r="37" spans="1:8" ht="12.75">
      <c r="A37" s="198" t="s">
        <v>261</v>
      </c>
      <c r="B37" s="198"/>
      <c r="C37" s="195" t="s">
        <v>530</v>
      </c>
      <c r="D37" s="195" t="s">
        <v>536</v>
      </c>
      <c r="E37" s="195" t="s">
        <v>222</v>
      </c>
      <c r="F37" s="209" t="s">
        <v>87</v>
      </c>
      <c r="G37" s="197">
        <f>G38</f>
        <v>300000</v>
      </c>
      <c r="H37" s="140"/>
    </row>
    <row r="38" spans="1:8" ht="12.75">
      <c r="A38" s="5" t="s">
        <v>77</v>
      </c>
      <c r="B38" s="5"/>
      <c r="C38" s="195" t="s">
        <v>530</v>
      </c>
      <c r="D38" s="195" t="s">
        <v>536</v>
      </c>
      <c r="E38" s="195" t="s">
        <v>222</v>
      </c>
      <c r="F38" s="195" t="s">
        <v>78</v>
      </c>
      <c r="G38" s="194">
        <v>300000</v>
      </c>
      <c r="H38" s="140"/>
    </row>
    <row r="39" spans="1:8" ht="12.75">
      <c r="A39" s="214" t="s">
        <v>471</v>
      </c>
      <c r="B39" s="214"/>
      <c r="C39" s="213" t="s">
        <v>530</v>
      </c>
      <c r="D39" s="213" t="s">
        <v>100</v>
      </c>
      <c r="E39" s="213" t="s">
        <v>87</v>
      </c>
      <c r="F39" s="213" t="s">
        <v>87</v>
      </c>
      <c r="G39" s="197">
        <f>G40+G46+G53+G63+G67+G58</f>
        <v>33016707.5</v>
      </c>
      <c r="H39" s="140"/>
    </row>
    <row r="40" spans="1:8" ht="51">
      <c r="A40" s="434" t="s">
        <v>711</v>
      </c>
      <c r="B40" s="435"/>
      <c r="C40" s="195" t="s">
        <v>530</v>
      </c>
      <c r="D40" s="195" t="s">
        <v>100</v>
      </c>
      <c r="E40" s="196" t="s">
        <v>8</v>
      </c>
      <c r="F40" s="195" t="s">
        <v>87</v>
      </c>
      <c r="G40" s="197">
        <f>G41</f>
        <v>2736458</v>
      </c>
      <c r="H40" s="140"/>
    </row>
    <row r="41" spans="1:8" ht="38.25">
      <c r="A41" s="436" t="s">
        <v>476</v>
      </c>
      <c r="B41" s="436"/>
      <c r="C41" s="195" t="s">
        <v>530</v>
      </c>
      <c r="D41" s="195" t="s">
        <v>100</v>
      </c>
      <c r="E41" s="196" t="s">
        <v>9</v>
      </c>
      <c r="F41" s="209" t="s">
        <v>87</v>
      </c>
      <c r="G41" s="197">
        <f>G42</f>
        <v>2736458</v>
      </c>
      <c r="H41" s="140"/>
    </row>
    <row r="42" spans="1:9" ht="51">
      <c r="A42" s="437" t="s">
        <v>37</v>
      </c>
      <c r="B42" s="437"/>
      <c r="C42" s="195" t="s">
        <v>530</v>
      </c>
      <c r="D42" s="195" t="s">
        <v>100</v>
      </c>
      <c r="E42" s="196" t="s">
        <v>10</v>
      </c>
      <c r="F42" s="209"/>
      <c r="G42" s="197">
        <f>G43</f>
        <v>2736458</v>
      </c>
      <c r="H42" s="140"/>
      <c r="I42" s="140" t="s">
        <v>280</v>
      </c>
    </row>
    <row r="43" spans="1:8" ht="12.75">
      <c r="A43" s="198" t="s">
        <v>283</v>
      </c>
      <c r="B43" s="198"/>
      <c r="C43" s="195" t="s">
        <v>530</v>
      </c>
      <c r="D43" s="195" t="s">
        <v>100</v>
      </c>
      <c r="E43" s="196" t="s">
        <v>11</v>
      </c>
      <c r="F43" s="209" t="s">
        <v>87</v>
      </c>
      <c r="G43" s="197">
        <f>SUM(G44:G45)</f>
        <v>2736458</v>
      </c>
      <c r="H43" s="140"/>
    </row>
    <row r="44" spans="1:8" ht="25.5">
      <c r="A44" s="5" t="s">
        <v>228</v>
      </c>
      <c r="B44" s="5"/>
      <c r="C44" s="195" t="s">
        <v>530</v>
      </c>
      <c r="D44" s="195" t="s">
        <v>100</v>
      </c>
      <c r="E44" s="196" t="s">
        <v>11</v>
      </c>
      <c r="F44" s="195" t="s">
        <v>74</v>
      </c>
      <c r="G44" s="194">
        <v>2217496</v>
      </c>
      <c r="H44" s="140"/>
    </row>
    <row r="45" spans="1:8" ht="12.75">
      <c r="A45" s="5" t="s">
        <v>77</v>
      </c>
      <c r="B45" s="5"/>
      <c r="C45" s="195" t="s">
        <v>530</v>
      </c>
      <c r="D45" s="195" t="s">
        <v>100</v>
      </c>
      <c r="E45" s="196" t="s">
        <v>11</v>
      </c>
      <c r="F45" s="195">
        <v>800</v>
      </c>
      <c r="G45" s="194">
        <v>518962</v>
      </c>
      <c r="H45" s="140"/>
    </row>
    <row r="46" spans="1:8" ht="56.25" customHeight="1">
      <c r="A46" s="211" t="s">
        <v>296</v>
      </c>
      <c r="B46" s="211"/>
      <c r="C46" s="195" t="s">
        <v>530</v>
      </c>
      <c r="D46" s="195" t="s">
        <v>100</v>
      </c>
      <c r="E46" s="195" t="s">
        <v>12</v>
      </c>
      <c r="F46" s="195"/>
      <c r="G46" s="197">
        <f>G47</f>
        <v>50000</v>
      </c>
      <c r="H46" s="140"/>
    </row>
    <row r="47" spans="1:8" ht="76.5">
      <c r="A47" s="4" t="s">
        <v>297</v>
      </c>
      <c r="B47" s="4"/>
      <c r="C47" s="195" t="s">
        <v>530</v>
      </c>
      <c r="D47" s="195" t="s">
        <v>100</v>
      </c>
      <c r="E47" s="195" t="s">
        <v>13</v>
      </c>
      <c r="F47" s="195"/>
      <c r="G47" s="197">
        <f>G48</f>
        <v>50000</v>
      </c>
      <c r="H47" s="140"/>
    </row>
    <row r="48" spans="1:8" ht="38.25">
      <c r="A48" s="53" t="s">
        <v>284</v>
      </c>
      <c r="B48" s="4"/>
      <c r="C48" s="51" t="s">
        <v>530</v>
      </c>
      <c r="D48" s="51" t="s">
        <v>100</v>
      </c>
      <c r="E48" s="51" t="s">
        <v>110</v>
      </c>
      <c r="F48" s="51"/>
      <c r="G48" s="55">
        <f>G49</f>
        <v>50000</v>
      </c>
      <c r="H48" s="140"/>
    </row>
    <row r="49" spans="1:8" ht="36" hidden="1">
      <c r="A49" s="438" t="s">
        <v>271</v>
      </c>
      <c r="B49" s="4"/>
      <c r="C49" s="51" t="s">
        <v>530</v>
      </c>
      <c r="D49" s="51" t="s">
        <v>100</v>
      </c>
      <c r="E49" s="51" t="s">
        <v>285</v>
      </c>
      <c r="F49" s="51"/>
      <c r="G49" s="55">
        <f>G50</f>
        <v>50000</v>
      </c>
      <c r="H49" s="140"/>
    </row>
    <row r="50" spans="1:8" ht="25.5">
      <c r="A50" s="53" t="s">
        <v>228</v>
      </c>
      <c r="B50" s="4"/>
      <c r="C50" s="51" t="s">
        <v>530</v>
      </c>
      <c r="D50" s="51" t="s">
        <v>100</v>
      </c>
      <c r="E50" s="51" t="s">
        <v>285</v>
      </c>
      <c r="F50" s="51">
        <v>200</v>
      </c>
      <c r="G50" s="55">
        <v>50000</v>
      </c>
      <c r="H50" s="140"/>
    </row>
    <row r="51" spans="1:8" ht="36" hidden="1">
      <c r="A51" s="438" t="s">
        <v>271</v>
      </c>
      <c r="B51" s="438"/>
      <c r="C51" s="195" t="s">
        <v>530</v>
      </c>
      <c r="D51" s="195" t="s">
        <v>100</v>
      </c>
      <c r="E51" s="195" t="s">
        <v>272</v>
      </c>
      <c r="F51" s="195"/>
      <c r="G51" s="197">
        <f>G52</f>
        <v>0</v>
      </c>
      <c r="H51" s="140"/>
    </row>
    <row r="52" spans="1:8" ht="25.5" hidden="1">
      <c r="A52" s="5" t="s">
        <v>228</v>
      </c>
      <c r="B52" s="5"/>
      <c r="C52" s="195" t="s">
        <v>530</v>
      </c>
      <c r="D52" s="195" t="s">
        <v>100</v>
      </c>
      <c r="E52" s="195" t="s">
        <v>272</v>
      </c>
      <c r="F52" s="195">
        <v>200</v>
      </c>
      <c r="G52" s="194"/>
      <c r="H52" s="140"/>
    </row>
    <row r="53" spans="1:8" ht="51" hidden="1">
      <c r="A53" s="211" t="s">
        <v>713</v>
      </c>
      <c r="B53" s="211"/>
      <c r="C53" s="195" t="s">
        <v>530</v>
      </c>
      <c r="D53" s="195" t="s">
        <v>100</v>
      </c>
      <c r="E53" s="195" t="s">
        <v>111</v>
      </c>
      <c r="F53" s="195"/>
      <c r="G53" s="197">
        <f>G54</f>
        <v>0</v>
      </c>
      <c r="H53" s="140"/>
    </row>
    <row r="54" spans="1:8" ht="63.75" hidden="1">
      <c r="A54" s="4" t="s">
        <v>714</v>
      </c>
      <c r="B54" s="4"/>
      <c r="C54" s="195" t="s">
        <v>530</v>
      </c>
      <c r="D54" s="195" t="s">
        <v>100</v>
      </c>
      <c r="E54" s="195" t="s">
        <v>112</v>
      </c>
      <c r="F54" s="195"/>
      <c r="G54" s="197">
        <f>G55</f>
        <v>0</v>
      </c>
      <c r="H54" s="140"/>
    </row>
    <row r="55" spans="1:8" ht="38.25" hidden="1">
      <c r="A55" s="5" t="s">
        <v>113</v>
      </c>
      <c r="B55" s="5"/>
      <c r="C55" s="195" t="s">
        <v>530</v>
      </c>
      <c r="D55" s="195" t="s">
        <v>100</v>
      </c>
      <c r="E55" s="195" t="s">
        <v>114</v>
      </c>
      <c r="F55" s="195"/>
      <c r="G55" s="197">
        <f>G56</f>
        <v>0</v>
      </c>
      <c r="H55" s="140"/>
    </row>
    <row r="56" spans="1:8" ht="38.25" hidden="1">
      <c r="A56" s="5" t="s">
        <v>116</v>
      </c>
      <c r="B56" s="5"/>
      <c r="C56" s="195" t="s">
        <v>530</v>
      </c>
      <c r="D56" s="195" t="s">
        <v>100</v>
      </c>
      <c r="E56" s="195" t="s">
        <v>115</v>
      </c>
      <c r="F56" s="195"/>
      <c r="G56" s="197">
        <f>G57</f>
        <v>0</v>
      </c>
      <c r="H56" s="140"/>
    </row>
    <row r="57" spans="1:8" ht="25.5" hidden="1">
      <c r="A57" s="5" t="s">
        <v>228</v>
      </c>
      <c r="B57" s="5"/>
      <c r="C57" s="195" t="s">
        <v>530</v>
      </c>
      <c r="D57" s="195" t="s">
        <v>100</v>
      </c>
      <c r="E57" s="195" t="s">
        <v>115</v>
      </c>
      <c r="F57" s="195">
        <v>200</v>
      </c>
      <c r="G57" s="194">
        <v>0</v>
      </c>
      <c r="H57" s="140"/>
    </row>
    <row r="58" spans="1:8" ht="25.5">
      <c r="A58" s="159" t="s">
        <v>469</v>
      </c>
      <c r="B58" s="147"/>
      <c r="C58" s="147" t="s">
        <v>530</v>
      </c>
      <c r="D58" s="147" t="s">
        <v>100</v>
      </c>
      <c r="E58" s="147" t="s">
        <v>689</v>
      </c>
      <c r="F58" s="147"/>
      <c r="G58" s="158">
        <f>G59</f>
        <v>334700</v>
      </c>
      <c r="H58" s="140"/>
    </row>
    <row r="59" spans="1:8" ht="25.5">
      <c r="A59" s="159" t="s">
        <v>473</v>
      </c>
      <c r="B59" s="147"/>
      <c r="C59" s="147" t="s">
        <v>530</v>
      </c>
      <c r="D59" s="147" t="s">
        <v>100</v>
      </c>
      <c r="E59" s="147" t="s">
        <v>690</v>
      </c>
      <c r="F59" s="147"/>
      <c r="G59" s="158">
        <f>G60</f>
        <v>334700</v>
      </c>
      <c r="H59" s="140"/>
    </row>
    <row r="60" spans="1:8" ht="38.25">
      <c r="A60" s="159" t="s">
        <v>293</v>
      </c>
      <c r="B60" s="159"/>
      <c r="C60" s="147" t="s">
        <v>530</v>
      </c>
      <c r="D60" s="147" t="s">
        <v>100</v>
      </c>
      <c r="E60" s="147" t="s">
        <v>691</v>
      </c>
      <c r="F60" s="149"/>
      <c r="G60" s="146">
        <f>SUM(G61:G62)</f>
        <v>334700</v>
      </c>
      <c r="H60" s="140"/>
    </row>
    <row r="61" spans="1:8" ht="63.75">
      <c r="A61" s="159" t="s">
        <v>735</v>
      </c>
      <c r="B61" s="159"/>
      <c r="C61" s="147" t="s">
        <v>530</v>
      </c>
      <c r="D61" s="147" t="s">
        <v>100</v>
      </c>
      <c r="E61" s="147" t="s">
        <v>691</v>
      </c>
      <c r="F61" s="149">
        <v>100</v>
      </c>
      <c r="G61" s="158">
        <v>294347.73</v>
      </c>
      <c r="H61" s="140"/>
    </row>
    <row r="62" spans="1:8" ht="25.5">
      <c r="A62" s="159" t="s">
        <v>228</v>
      </c>
      <c r="B62" s="159"/>
      <c r="C62" s="147" t="s">
        <v>530</v>
      </c>
      <c r="D62" s="147" t="s">
        <v>100</v>
      </c>
      <c r="E62" s="147" t="s">
        <v>691</v>
      </c>
      <c r="F62" s="149">
        <v>200</v>
      </c>
      <c r="G62" s="158">
        <v>40352.27</v>
      </c>
      <c r="H62" s="140"/>
    </row>
    <row r="63" spans="1:8" ht="25.5">
      <c r="A63" s="5" t="s">
        <v>520</v>
      </c>
      <c r="B63" s="5"/>
      <c r="C63" s="195" t="s">
        <v>530</v>
      </c>
      <c r="D63" s="195" t="s">
        <v>100</v>
      </c>
      <c r="E63" s="196" t="s">
        <v>519</v>
      </c>
      <c r="F63" s="195"/>
      <c r="G63" s="197">
        <f>G64</f>
        <v>880900</v>
      </c>
      <c r="H63" s="140"/>
    </row>
    <row r="64" spans="1:8" ht="12.75">
      <c r="A64" s="4" t="s">
        <v>518</v>
      </c>
      <c r="B64" s="4"/>
      <c r="C64" s="195" t="s">
        <v>530</v>
      </c>
      <c r="D64" s="195" t="s">
        <v>100</v>
      </c>
      <c r="E64" s="196" t="s">
        <v>517</v>
      </c>
      <c r="F64" s="195"/>
      <c r="G64" s="197">
        <f>G65</f>
        <v>880900</v>
      </c>
      <c r="H64" s="140"/>
    </row>
    <row r="65" spans="1:8" ht="25.5">
      <c r="A65" s="198" t="s">
        <v>36</v>
      </c>
      <c r="B65" s="198"/>
      <c r="C65" s="195" t="s">
        <v>530</v>
      </c>
      <c r="D65" s="195" t="s">
        <v>100</v>
      </c>
      <c r="E65" s="196" t="s">
        <v>716</v>
      </c>
      <c r="F65" s="195"/>
      <c r="G65" s="197">
        <f>G66</f>
        <v>880900</v>
      </c>
      <c r="H65" s="140"/>
    </row>
    <row r="66" spans="1:8" ht="12.75">
      <c r="A66" s="5" t="s">
        <v>77</v>
      </c>
      <c r="B66" s="5"/>
      <c r="C66" s="195" t="s">
        <v>530</v>
      </c>
      <c r="D66" s="195" t="s">
        <v>100</v>
      </c>
      <c r="E66" s="196" t="s">
        <v>716</v>
      </c>
      <c r="F66" s="195">
        <v>800</v>
      </c>
      <c r="G66" s="194">
        <v>880900</v>
      </c>
      <c r="H66" s="140"/>
    </row>
    <row r="67" spans="1:8" ht="25.5">
      <c r="A67" s="211" t="s">
        <v>626</v>
      </c>
      <c r="B67" s="211"/>
      <c r="C67" s="195" t="s">
        <v>530</v>
      </c>
      <c r="D67" s="195" t="s">
        <v>100</v>
      </c>
      <c r="E67" s="196" t="s">
        <v>14</v>
      </c>
      <c r="F67" s="209" t="s">
        <v>87</v>
      </c>
      <c r="G67" s="197">
        <f>G68</f>
        <v>29014649.5</v>
      </c>
      <c r="H67" s="140"/>
    </row>
    <row r="68" spans="1:8" ht="25.5">
      <c r="A68" s="4" t="s">
        <v>636</v>
      </c>
      <c r="B68" s="4"/>
      <c r="C68" s="195" t="s">
        <v>530</v>
      </c>
      <c r="D68" s="195" t="s">
        <v>100</v>
      </c>
      <c r="E68" s="199" t="s">
        <v>16</v>
      </c>
      <c r="F68" s="210" t="s">
        <v>87</v>
      </c>
      <c r="G68" s="197">
        <f>G69+G73+G76+G78+G81</f>
        <v>29014649.5</v>
      </c>
      <c r="H68" s="140"/>
    </row>
    <row r="69" spans="1:8" ht="25.5">
      <c r="A69" s="198" t="s">
        <v>494</v>
      </c>
      <c r="B69" s="198"/>
      <c r="C69" s="195" t="s">
        <v>530</v>
      </c>
      <c r="D69" s="195" t="s">
        <v>100</v>
      </c>
      <c r="E69" s="196" t="s">
        <v>17</v>
      </c>
      <c r="F69" s="209" t="s">
        <v>87</v>
      </c>
      <c r="G69" s="197">
        <f>SUM(G70:G72)</f>
        <v>22527525</v>
      </c>
      <c r="H69" s="140"/>
    </row>
    <row r="70" spans="1:8" ht="63.75">
      <c r="A70" s="5" t="s">
        <v>735</v>
      </c>
      <c r="B70" s="5"/>
      <c r="C70" s="195" t="s">
        <v>530</v>
      </c>
      <c r="D70" s="195" t="s">
        <v>100</v>
      </c>
      <c r="E70" s="196" t="s">
        <v>17</v>
      </c>
      <c r="F70" s="195" t="s">
        <v>592</v>
      </c>
      <c r="G70" s="194">
        <v>21478278</v>
      </c>
      <c r="H70" s="140"/>
    </row>
    <row r="71" spans="1:8" ht="25.5">
      <c r="A71" s="5" t="s">
        <v>228</v>
      </c>
      <c r="B71" s="5"/>
      <c r="C71" s="195" t="s">
        <v>530</v>
      </c>
      <c r="D71" s="195" t="s">
        <v>100</v>
      </c>
      <c r="E71" s="196" t="s">
        <v>17</v>
      </c>
      <c r="F71" s="195" t="s">
        <v>74</v>
      </c>
      <c r="G71" s="194">
        <v>1000100</v>
      </c>
      <c r="H71" s="140"/>
    </row>
    <row r="72" spans="1:8" ht="12.75">
      <c r="A72" s="5" t="s">
        <v>77</v>
      </c>
      <c r="B72" s="5"/>
      <c r="C72" s="195" t="s">
        <v>530</v>
      </c>
      <c r="D72" s="195" t="s">
        <v>100</v>
      </c>
      <c r="E72" s="196" t="s">
        <v>17</v>
      </c>
      <c r="F72" s="195" t="s">
        <v>78</v>
      </c>
      <c r="G72" s="194">
        <v>49147</v>
      </c>
      <c r="H72" s="140"/>
    </row>
    <row r="73" spans="1:8" ht="25.5">
      <c r="A73" s="198" t="s">
        <v>36</v>
      </c>
      <c r="B73" s="5"/>
      <c r="C73" s="195" t="s">
        <v>530</v>
      </c>
      <c r="D73" s="195" t="s">
        <v>100</v>
      </c>
      <c r="E73" s="196" t="s">
        <v>341</v>
      </c>
      <c r="F73" s="195"/>
      <c r="G73" s="194">
        <f>G75+G74</f>
        <v>5779774.5</v>
      </c>
      <c r="H73" s="140"/>
    </row>
    <row r="74" spans="1:8" ht="15.75" customHeight="1">
      <c r="A74" s="149" t="s">
        <v>81</v>
      </c>
      <c r="B74" s="5"/>
      <c r="C74" s="147" t="s">
        <v>530</v>
      </c>
      <c r="D74" s="147" t="s">
        <v>100</v>
      </c>
      <c r="E74" s="148" t="s">
        <v>341</v>
      </c>
      <c r="F74" s="147">
        <v>300</v>
      </c>
      <c r="G74" s="194"/>
      <c r="H74" s="140"/>
    </row>
    <row r="75" spans="1:8" ht="12.75">
      <c r="A75" s="5" t="s">
        <v>77</v>
      </c>
      <c r="B75" s="5"/>
      <c r="C75" s="195" t="s">
        <v>530</v>
      </c>
      <c r="D75" s="195" t="s">
        <v>100</v>
      </c>
      <c r="E75" s="196" t="s">
        <v>341</v>
      </c>
      <c r="F75" s="195">
        <v>800</v>
      </c>
      <c r="G75" s="194">
        <v>5779774.5</v>
      </c>
      <c r="H75" s="140"/>
    </row>
    <row r="76" spans="1:8" ht="25.5">
      <c r="A76" s="198" t="s">
        <v>464</v>
      </c>
      <c r="B76" s="198"/>
      <c r="C76" s="195" t="s">
        <v>530</v>
      </c>
      <c r="D76" s="195" t="s">
        <v>100</v>
      </c>
      <c r="E76" s="196" t="s">
        <v>18</v>
      </c>
      <c r="F76" s="209" t="s">
        <v>87</v>
      </c>
      <c r="G76" s="197">
        <f>G77</f>
        <v>540000</v>
      </c>
      <c r="H76" s="140"/>
    </row>
    <row r="77" spans="1:8" ht="25.5">
      <c r="A77" s="5" t="s">
        <v>228</v>
      </c>
      <c r="B77" s="5"/>
      <c r="C77" s="195" t="s">
        <v>530</v>
      </c>
      <c r="D77" s="195" t="s">
        <v>100</v>
      </c>
      <c r="E77" s="196" t="s">
        <v>18</v>
      </c>
      <c r="F77" s="196">
        <v>200</v>
      </c>
      <c r="G77" s="194">
        <v>540000</v>
      </c>
      <c r="H77" s="140"/>
    </row>
    <row r="78" spans="1:8" ht="51" customHeight="1">
      <c r="A78" s="6" t="s">
        <v>767</v>
      </c>
      <c r="B78" s="6"/>
      <c r="C78" s="195" t="s">
        <v>530</v>
      </c>
      <c r="D78" s="195" t="s">
        <v>100</v>
      </c>
      <c r="E78" s="196" t="s">
        <v>46</v>
      </c>
      <c r="F78" s="196"/>
      <c r="G78" s="197">
        <f>SUM(G79:G80)</f>
        <v>167350</v>
      </c>
      <c r="H78" s="140"/>
    </row>
    <row r="79" spans="1:8" ht="63.75">
      <c r="A79" s="5" t="s">
        <v>735</v>
      </c>
      <c r="B79" s="5"/>
      <c r="C79" s="195" t="s">
        <v>530</v>
      </c>
      <c r="D79" s="195" t="s">
        <v>100</v>
      </c>
      <c r="E79" s="196" t="s">
        <v>46</v>
      </c>
      <c r="F79" s="196">
        <v>100</v>
      </c>
      <c r="G79" s="194">
        <v>131226.27</v>
      </c>
      <c r="H79" s="140"/>
    </row>
    <row r="80" spans="1:8" ht="25.5">
      <c r="A80" s="238" t="s">
        <v>228</v>
      </c>
      <c r="B80" s="238"/>
      <c r="C80" s="237" t="s">
        <v>530</v>
      </c>
      <c r="D80" s="237" t="s">
        <v>100</v>
      </c>
      <c r="E80" s="236" t="s">
        <v>46</v>
      </c>
      <c r="F80" s="236">
        <v>200</v>
      </c>
      <c r="G80" s="235">
        <v>36123.73</v>
      </c>
      <c r="H80" s="140"/>
    </row>
    <row r="81" spans="1:8" ht="25.5" hidden="1">
      <c r="A81" s="170" t="s">
        <v>816</v>
      </c>
      <c r="B81" s="233"/>
      <c r="C81" s="147" t="s">
        <v>530</v>
      </c>
      <c r="D81" s="147" t="s">
        <v>100</v>
      </c>
      <c r="E81" s="144" t="s">
        <v>815</v>
      </c>
      <c r="F81" s="169"/>
      <c r="G81" s="234">
        <f>G82</f>
        <v>0</v>
      </c>
      <c r="H81" s="140"/>
    </row>
    <row r="82" spans="1:8" ht="25.5" hidden="1">
      <c r="A82" s="145" t="s">
        <v>228</v>
      </c>
      <c r="B82" s="233"/>
      <c r="C82" s="143" t="s">
        <v>530</v>
      </c>
      <c r="D82" s="143" t="s">
        <v>100</v>
      </c>
      <c r="E82" s="144" t="s">
        <v>815</v>
      </c>
      <c r="F82" s="144">
        <v>200</v>
      </c>
      <c r="G82" s="234"/>
      <c r="H82" s="140"/>
    </row>
    <row r="83" spans="1:8" ht="12.75">
      <c r="A83" s="232" t="s">
        <v>522</v>
      </c>
      <c r="B83" s="232"/>
      <c r="C83" s="230" t="s">
        <v>532</v>
      </c>
      <c r="D83" s="231" t="s">
        <v>462</v>
      </c>
      <c r="E83" s="230" t="s">
        <v>87</v>
      </c>
      <c r="F83" s="230" t="s">
        <v>87</v>
      </c>
      <c r="G83" s="229">
        <f>G84</f>
        <v>16200</v>
      </c>
      <c r="H83" s="140"/>
    </row>
    <row r="84" spans="1:8" ht="12.75">
      <c r="A84" s="214" t="s">
        <v>521</v>
      </c>
      <c r="B84" s="214"/>
      <c r="C84" s="213" t="s">
        <v>532</v>
      </c>
      <c r="D84" s="213" t="s">
        <v>533</v>
      </c>
      <c r="E84" s="212" t="s">
        <v>87</v>
      </c>
      <c r="F84" s="212" t="s">
        <v>87</v>
      </c>
      <c r="G84" s="197">
        <f>G85</f>
        <v>16200</v>
      </c>
      <c r="H84" s="140"/>
    </row>
    <row r="85" spans="1:8" ht="25.5">
      <c r="A85" s="5" t="s">
        <v>520</v>
      </c>
      <c r="B85" s="5"/>
      <c r="C85" s="195" t="s">
        <v>532</v>
      </c>
      <c r="D85" s="195" t="s">
        <v>533</v>
      </c>
      <c r="E85" s="196" t="s">
        <v>519</v>
      </c>
      <c r="F85" s="209" t="s">
        <v>87</v>
      </c>
      <c r="G85" s="197">
        <f>G86</f>
        <v>16200</v>
      </c>
      <c r="H85" s="140"/>
    </row>
    <row r="86" spans="1:8" ht="12.75">
      <c r="A86" s="5" t="s">
        <v>518</v>
      </c>
      <c r="B86" s="5"/>
      <c r="C86" s="195" t="s">
        <v>532</v>
      </c>
      <c r="D86" s="195" t="s">
        <v>533</v>
      </c>
      <c r="E86" s="196" t="s">
        <v>517</v>
      </c>
      <c r="F86" s="209"/>
      <c r="G86" s="197">
        <f>G87</f>
        <v>16200</v>
      </c>
      <c r="H86" s="140"/>
    </row>
    <row r="87" spans="1:8" ht="25.5">
      <c r="A87" s="439" t="s">
        <v>516</v>
      </c>
      <c r="B87" s="439"/>
      <c r="C87" s="195" t="s">
        <v>532</v>
      </c>
      <c r="D87" s="195" t="s">
        <v>533</v>
      </c>
      <c r="E87" s="196" t="s">
        <v>515</v>
      </c>
      <c r="F87" s="210" t="s">
        <v>87</v>
      </c>
      <c r="G87" s="197">
        <f>G88</f>
        <v>16200</v>
      </c>
      <c r="H87" s="140"/>
    </row>
    <row r="88" spans="1:8" ht="25.5">
      <c r="A88" s="193" t="s">
        <v>91</v>
      </c>
      <c r="B88" s="193"/>
      <c r="C88" s="191" t="s">
        <v>532</v>
      </c>
      <c r="D88" s="191" t="s">
        <v>533</v>
      </c>
      <c r="E88" s="192" t="s">
        <v>515</v>
      </c>
      <c r="F88" s="191">
        <v>200</v>
      </c>
      <c r="G88" s="190">
        <v>16200</v>
      </c>
      <c r="H88" s="140"/>
    </row>
    <row r="89" spans="1:8" ht="25.5">
      <c r="A89" s="174" t="s">
        <v>472</v>
      </c>
      <c r="B89" s="174"/>
      <c r="C89" s="172" t="s">
        <v>101</v>
      </c>
      <c r="D89" s="216" t="s">
        <v>462</v>
      </c>
      <c r="E89" s="172" t="s">
        <v>87</v>
      </c>
      <c r="F89" s="172" t="s">
        <v>87</v>
      </c>
      <c r="G89" s="171">
        <f>G90</f>
        <v>2771627</v>
      </c>
      <c r="H89" s="140"/>
    </row>
    <row r="90" spans="1:8" ht="38.25">
      <c r="A90" s="214" t="s">
        <v>481</v>
      </c>
      <c r="B90" s="214"/>
      <c r="C90" s="213" t="s">
        <v>101</v>
      </c>
      <c r="D90" s="213">
        <v>10</v>
      </c>
      <c r="E90" s="213" t="s">
        <v>87</v>
      </c>
      <c r="F90" s="213" t="s">
        <v>87</v>
      </c>
      <c r="G90" s="197">
        <f>G91</f>
        <v>2771627</v>
      </c>
      <c r="H90" s="140"/>
    </row>
    <row r="91" spans="1:8" ht="51">
      <c r="A91" s="211" t="s">
        <v>482</v>
      </c>
      <c r="B91" s="211"/>
      <c r="C91" s="195" t="s">
        <v>101</v>
      </c>
      <c r="D91" s="195">
        <v>10</v>
      </c>
      <c r="E91" s="196" t="s">
        <v>19</v>
      </c>
      <c r="F91" s="195" t="s">
        <v>87</v>
      </c>
      <c r="G91" s="197">
        <f>G92</f>
        <v>2771627</v>
      </c>
      <c r="H91" s="140"/>
    </row>
    <row r="92" spans="1:8" ht="89.25">
      <c r="A92" s="440" t="s">
        <v>294</v>
      </c>
      <c r="B92" s="440"/>
      <c r="C92" s="195" t="s">
        <v>101</v>
      </c>
      <c r="D92" s="195">
        <v>10</v>
      </c>
      <c r="E92" s="196" t="s">
        <v>883</v>
      </c>
      <c r="F92" s="195"/>
      <c r="G92" s="197">
        <f>G93+G98</f>
        <v>2771627</v>
      </c>
      <c r="H92" s="140"/>
    </row>
    <row r="93" spans="1:8" ht="69.75" customHeight="1">
      <c r="A93" s="441" t="s">
        <v>259</v>
      </c>
      <c r="B93" s="441"/>
      <c r="C93" s="195" t="s">
        <v>101</v>
      </c>
      <c r="D93" s="195">
        <v>10</v>
      </c>
      <c r="E93" s="196" t="s">
        <v>932</v>
      </c>
      <c r="F93" s="195"/>
      <c r="G93" s="197">
        <f>G94+G101</f>
        <v>2671627</v>
      </c>
      <c r="H93" s="140"/>
    </row>
    <row r="94" spans="1:8" ht="24" customHeight="1">
      <c r="A94" s="198" t="s">
        <v>494</v>
      </c>
      <c r="B94" s="198"/>
      <c r="C94" s="195" t="s">
        <v>101</v>
      </c>
      <c r="D94" s="195">
        <v>10</v>
      </c>
      <c r="E94" s="196" t="s">
        <v>927</v>
      </c>
      <c r="F94" s="195" t="s">
        <v>87</v>
      </c>
      <c r="G94" s="197">
        <f>SUM(G95:G97)</f>
        <v>2671627</v>
      </c>
      <c r="H94" s="140"/>
    </row>
    <row r="95" spans="1:8" ht="63.75">
      <c r="A95" s="5" t="s">
        <v>735</v>
      </c>
      <c r="B95" s="5"/>
      <c r="C95" s="195" t="s">
        <v>101</v>
      </c>
      <c r="D95" s="195">
        <v>10</v>
      </c>
      <c r="E95" s="196" t="s">
        <v>927</v>
      </c>
      <c r="F95" s="195" t="s">
        <v>592</v>
      </c>
      <c r="G95" s="194">
        <v>2484982</v>
      </c>
      <c r="H95" s="140"/>
    </row>
    <row r="96" spans="1:8" ht="25.5">
      <c r="A96" s="5" t="s">
        <v>228</v>
      </c>
      <c r="B96" s="5"/>
      <c r="C96" s="195" t="s">
        <v>101</v>
      </c>
      <c r="D96" s="195">
        <v>10</v>
      </c>
      <c r="E96" s="196" t="s">
        <v>927</v>
      </c>
      <c r="F96" s="195" t="s">
        <v>74</v>
      </c>
      <c r="G96" s="194">
        <v>185445</v>
      </c>
      <c r="H96" s="140"/>
    </row>
    <row r="97" spans="1:8" ht="12.75">
      <c r="A97" s="193" t="s">
        <v>77</v>
      </c>
      <c r="B97" s="193"/>
      <c r="C97" s="191" t="s">
        <v>101</v>
      </c>
      <c r="D97" s="191">
        <v>10</v>
      </c>
      <c r="E97" s="196" t="s">
        <v>927</v>
      </c>
      <c r="F97" s="191" t="s">
        <v>78</v>
      </c>
      <c r="G97" s="190">
        <v>1200</v>
      </c>
      <c r="H97" s="140"/>
    </row>
    <row r="98" spans="1:8" ht="51">
      <c r="A98" s="441" t="s">
        <v>882</v>
      </c>
      <c r="B98" s="211"/>
      <c r="C98" s="143" t="s">
        <v>101</v>
      </c>
      <c r="D98" s="143" t="s">
        <v>554</v>
      </c>
      <c r="E98" s="144" t="s">
        <v>884</v>
      </c>
      <c r="F98" s="143"/>
      <c r="G98" s="146">
        <f>G99</f>
        <v>100000</v>
      </c>
      <c r="H98" s="140"/>
    </row>
    <row r="99" spans="1:8" ht="38.25">
      <c r="A99" s="441" t="s">
        <v>271</v>
      </c>
      <c r="B99" s="211"/>
      <c r="C99" s="143" t="s">
        <v>101</v>
      </c>
      <c r="D99" s="143" t="s">
        <v>554</v>
      </c>
      <c r="E99" s="144" t="s">
        <v>885</v>
      </c>
      <c r="F99" s="143"/>
      <c r="G99" s="146">
        <f>G100</f>
        <v>100000</v>
      </c>
      <c r="H99" s="140"/>
    </row>
    <row r="100" spans="1:8" ht="25.5">
      <c r="A100" s="441" t="s">
        <v>151</v>
      </c>
      <c r="B100" s="211"/>
      <c r="C100" s="143" t="s">
        <v>101</v>
      </c>
      <c r="D100" s="143" t="s">
        <v>554</v>
      </c>
      <c r="E100" s="144" t="s">
        <v>885</v>
      </c>
      <c r="F100" s="143" t="s">
        <v>74</v>
      </c>
      <c r="G100" s="142">
        <v>100000</v>
      </c>
      <c r="H100" s="140"/>
    </row>
    <row r="101" spans="1:8" ht="38.25" hidden="1">
      <c r="A101" s="159" t="s">
        <v>869</v>
      </c>
      <c r="B101" s="233"/>
      <c r="C101" s="143" t="s">
        <v>101</v>
      </c>
      <c r="D101" s="143">
        <v>10</v>
      </c>
      <c r="E101" s="144" t="s">
        <v>870</v>
      </c>
      <c r="F101" s="147"/>
      <c r="G101" s="194">
        <f>G102</f>
        <v>0</v>
      </c>
      <c r="H101" s="140"/>
    </row>
    <row r="102" spans="1:8" ht="25.5" hidden="1">
      <c r="A102" s="159" t="s">
        <v>228</v>
      </c>
      <c r="B102" s="193"/>
      <c r="C102" s="143" t="s">
        <v>101</v>
      </c>
      <c r="D102" s="143">
        <v>10</v>
      </c>
      <c r="E102" s="144" t="s">
        <v>870</v>
      </c>
      <c r="F102" s="147">
        <v>200</v>
      </c>
      <c r="G102" s="190"/>
      <c r="H102" s="140"/>
    </row>
    <row r="103" spans="1:8" ht="12.75">
      <c r="A103" s="174" t="s">
        <v>723</v>
      </c>
      <c r="B103" s="174"/>
      <c r="C103" s="172" t="s">
        <v>533</v>
      </c>
      <c r="D103" s="216" t="s">
        <v>462</v>
      </c>
      <c r="E103" s="172" t="s">
        <v>87</v>
      </c>
      <c r="F103" s="172" t="s">
        <v>87</v>
      </c>
      <c r="G103" s="171">
        <f>G104+G116+G135+G110</f>
        <v>63833177.15</v>
      </c>
      <c r="H103" s="140"/>
    </row>
    <row r="104" spans="1:8" ht="12.75">
      <c r="A104" s="214" t="s">
        <v>724</v>
      </c>
      <c r="B104" s="214"/>
      <c r="C104" s="213" t="s">
        <v>533</v>
      </c>
      <c r="D104" s="213" t="s">
        <v>530</v>
      </c>
      <c r="E104" s="213" t="s">
        <v>87</v>
      </c>
      <c r="F104" s="213" t="s">
        <v>87</v>
      </c>
      <c r="G104" s="197">
        <f>G105</f>
        <v>88300</v>
      </c>
      <c r="H104" s="140"/>
    </row>
    <row r="105" spans="1:8" ht="38.25">
      <c r="A105" s="211" t="s">
        <v>702</v>
      </c>
      <c r="B105" s="211"/>
      <c r="C105" s="195" t="s">
        <v>533</v>
      </c>
      <c r="D105" s="195" t="s">
        <v>530</v>
      </c>
      <c r="E105" s="196" t="s">
        <v>21</v>
      </c>
      <c r="F105" s="195" t="s">
        <v>87</v>
      </c>
      <c r="G105" s="197">
        <f>G106</f>
        <v>88300</v>
      </c>
      <c r="H105" s="140"/>
    </row>
    <row r="106" spans="1:8" ht="51">
      <c r="A106" s="4" t="s">
        <v>584</v>
      </c>
      <c r="B106" s="4"/>
      <c r="C106" s="195" t="s">
        <v>533</v>
      </c>
      <c r="D106" s="195" t="s">
        <v>530</v>
      </c>
      <c r="E106" s="196" t="s">
        <v>22</v>
      </c>
      <c r="F106" s="195"/>
      <c r="G106" s="197">
        <f>G107</f>
        <v>88300</v>
      </c>
      <c r="H106" s="140"/>
    </row>
    <row r="107" spans="1:8" ht="51">
      <c r="A107" s="437" t="s">
        <v>514</v>
      </c>
      <c r="B107" s="437"/>
      <c r="C107" s="195" t="s">
        <v>533</v>
      </c>
      <c r="D107" s="195" t="s">
        <v>530</v>
      </c>
      <c r="E107" s="196" t="s">
        <v>23</v>
      </c>
      <c r="F107" s="195"/>
      <c r="G107" s="197">
        <f>G108</f>
        <v>88300</v>
      </c>
      <c r="H107" s="140"/>
    </row>
    <row r="108" spans="1:8" ht="25.5">
      <c r="A108" s="5" t="s">
        <v>701</v>
      </c>
      <c r="B108" s="5"/>
      <c r="C108" s="195" t="s">
        <v>533</v>
      </c>
      <c r="D108" s="195" t="s">
        <v>530</v>
      </c>
      <c r="E108" s="196" t="s">
        <v>24</v>
      </c>
      <c r="F108" s="195"/>
      <c r="G108" s="197">
        <f>G109</f>
        <v>88300</v>
      </c>
      <c r="H108" s="140"/>
    </row>
    <row r="109" spans="1:8" ht="38.25">
      <c r="A109" s="5" t="s">
        <v>90</v>
      </c>
      <c r="B109" s="5"/>
      <c r="C109" s="195" t="s">
        <v>533</v>
      </c>
      <c r="D109" s="195" t="s">
        <v>530</v>
      </c>
      <c r="E109" s="196" t="s">
        <v>24</v>
      </c>
      <c r="F109" s="195">
        <v>600</v>
      </c>
      <c r="G109" s="194">
        <v>88300</v>
      </c>
      <c r="H109" s="140"/>
    </row>
    <row r="110" spans="1:8" ht="12.75">
      <c r="A110" s="152" t="s">
        <v>886</v>
      </c>
      <c r="B110" s="5"/>
      <c r="C110" s="151" t="s">
        <v>533</v>
      </c>
      <c r="D110" s="151" t="s">
        <v>553</v>
      </c>
      <c r="E110" s="151"/>
      <c r="F110" s="151"/>
      <c r="G110" s="146">
        <f>G111</f>
        <v>1513276.15</v>
      </c>
      <c r="H110" s="140"/>
    </row>
    <row r="111" spans="1:8" ht="63.75">
      <c r="A111" s="150" t="s">
        <v>478</v>
      </c>
      <c r="B111" s="5"/>
      <c r="C111" s="147" t="s">
        <v>533</v>
      </c>
      <c r="D111" s="147" t="s">
        <v>553</v>
      </c>
      <c r="E111" s="148" t="s">
        <v>890</v>
      </c>
      <c r="F111" s="147"/>
      <c r="G111" s="146">
        <f>G112</f>
        <v>1513276.15</v>
      </c>
      <c r="H111" s="140"/>
    </row>
    <row r="112" spans="1:8" ht="25.5">
      <c r="A112" s="84" t="s">
        <v>887</v>
      </c>
      <c r="B112" s="5"/>
      <c r="C112" s="147" t="s">
        <v>533</v>
      </c>
      <c r="D112" s="147" t="s">
        <v>553</v>
      </c>
      <c r="E112" s="148" t="s">
        <v>891</v>
      </c>
      <c r="F112" s="147"/>
      <c r="G112" s="146">
        <f>G113</f>
        <v>1513276.15</v>
      </c>
      <c r="H112" s="140"/>
    </row>
    <row r="113" spans="1:8" ht="38.25">
      <c r="A113" s="159" t="s">
        <v>888</v>
      </c>
      <c r="B113" s="5"/>
      <c r="C113" s="147" t="s">
        <v>533</v>
      </c>
      <c r="D113" s="147" t="s">
        <v>553</v>
      </c>
      <c r="E113" s="148" t="s">
        <v>892</v>
      </c>
      <c r="F113" s="147"/>
      <c r="G113" s="158">
        <f>G114</f>
        <v>1513276.15</v>
      </c>
      <c r="H113" s="140"/>
    </row>
    <row r="114" spans="1:8" ht="12.75">
      <c r="A114" s="159" t="s">
        <v>889</v>
      </c>
      <c r="B114" s="5"/>
      <c r="C114" s="147" t="s">
        <v>533</v>
      </c>
      <c r="D114" s="147" t="s">
        <v>553</v>
      </c>
      <c r="E114" s="148" t="s">
        <v>893</v>
      </c>
      <c r="F114" s="147"/>
      <c r="G114" s="158">
        <f>G115</f>
        <v>1513276.15</v>
      </c>
      <c r="H114" s="140"/>
    </row>
    <row r="115" spans="1:8" ht="25.5">
      <c r="A115" s="159" t="s">
        <v>228</v>
      </c>
      <c r="B115" s="5"/>
      <c r="C115" s="147" t="s">
        <v>533</v>
      </c>
      <c r="D115" s="147" t="s">
        <v>553</v>
      </c>
      <c r="E115" s="148" t="s">
        <v>893</v>
      </c>
      <c r="F115" s="147" t="s">
        <v>74</v>
      </c>
      <c r="G115" s="158">
        <v>1513276.15</v>
      </c>
      <c r="H115" s="140"/>
    </row>
    <row r="116" spans="1:8" ht="12.75">
      <c r="A116" s="214" t="s">
        <v>86</v>
      </c>
      <c r="B116" s="214"/>
      <c r="C116" s="213" t="s">
        <v>533</v>
      </c>
      <c r="D116" s="213" t="s">
        <v>102</v>
      </c>
      <c r="E116" s="212" t="s">
        <v>87</v>
      </c>
      <c r="F116" s="212" t="s">
        <v>87</v>
      </c>
      <c r="G116" s="197">
        <f>G117</f>
        <v>61831601</v>
      </c>
      <c r="H116" s="140"/>
    </row>
    <row r="117" spans="1:8" ht="63.75">
      <c r="A117" s="211" t="s">
        <v>478</v>
      </c>
      <c r="B117" s="211"/>
      <c r="C117" s="195" t="s">
        <v>533</v>
      </c>
      <c r="D117" s="195" t="s">
        <v>102</v>
      </c>
      <c r="E117" s="196" t="s">
        <v>29</v>
      </c>
      <c r="F117" s="209" t="s">
        <v>87</v>
      </c>
      <c r="G117" s="197">
        <f>G118+G131</f>
        <v>61831601</v>
      </c>
      <c r="H117" s="140"/>
    </row>
    <row r="118" spans="1:8" ht="89.25">
      <c r="A118" s="4" t="s">
        <v>47</v>
      </c>
      <c r="B118" s="4"/>
      <c r="C118" s="195" t="s">
        <v>533</v>
      </c>
      <c r="D118" s="195" t="s">
        <v>102</v>
      </c>
      <c r="E118" s="199" t="s">
        <v>233</v>
      </c>
      <c r="F118" s="210" t="s">
        <v>87</v>
      </c>
      <c r="G118" s="197">
        <f>G119+G123+G128</f>
        <v>61631329</v>
      </c>
      <c r="H118" s="140"/>
    </row>
    <row r="119" spans="1:8" ht="25.5">
      <c r="A119" s="437" t="s">
        <v>232</v>
      </c>
      <c r="B119" s="437"/>
      <c r="C119" s="195" t="s">
        <v>533</v>
      </c>
      <c r="D119" s="195" t="s">
        <v>102</v>
      </c>
      <c r="E119" s="196" t="s">
        <v>231</v>
      </c>
      <c r="F119" s="210"/>
      <c r="G119" s="197">
        <f>G120</f>
        <v>1069302.67</v>
      </c>
      <c r="H119" s="140"/>
    </row>
    <row r="120" spans="1:8" ht="38.25">
      <c r="A120" s="442" t="s">
        <v>31</v>
      </c>
      <c r="B120" s="442"/>
      <c r="C120" s="195" t="s">
        <v>533</v>
      </c>
      <c r="D120" s="195" t="s">
        <v>102</v>
      </c>
      <c r="E120" s="196" t="s">
        <v>230</v>
      </c>
      <c r="F120" s="210"/>
      <c r="G120" s="197">
        <f>G121+G122</f>
        <v>1069302.67</v>
      </c>
      <c r="H120" s="140"/>
    </row>
    <row r="121" spans="1:8" ht="25.5" hidden="1">
      <c r="A121" s="5" t="s">
        <v>228</v>
      </c>
      <c r="B121" s="442"/>
      <c r="C121" s="195" t="s">
        <v>533</v>
      </c>
      <c r="D121" s="195" t="s">
        <v>102</v>
      </c>
      <c r="E121" s="196" t="s">
        <v>230</v>
      </c>
      <c r="F121" s="149">
        <v>200</v>
      </c>
      <c r="G121" s="194"/>
      <c r="H121" s="140"/>
    </row>
    <row r="122" spans="1:8" ht="12.75">
      <c r="A122" s="5" t="s">
        <v>77</v>
      </c>
      <c r="B122" s="5"/>
      <c r="C122" s="195" t="s">
        <v>533</v>
      </c>
      <c r="D122" s="195" t="s">
        <v>102</v>
      </c>
      <c r="E122" s="196" t="s">
        <v>230</v>
      </c>
      <c r="F122" s="198">
        <v>800</v>
      </c>
      <c r="G122" s="194">
        <v>1069302.67</v>
      </c>
      <c r="H122" s="140"/>
    </row>
    <row r="123" spans="1:8" ht="38.25">
      <c r="A123" s="437" t="s">
        <v>229</v>
      </c>
      <c r="B123" s="437"/>
      <c r="C123" s="195" t="s">
        <v>533</v>
      </c>
      <c r="D123" s="195" t="s">
        <v>102</v>
      </c>
      <c r="E123" s="196" t="s">
        <v>250</v>
      </c>
      <c r="F123" s="210"/>
      <c r="G123" s="197">
        <f>G126+G124</f>
        <v>60562026.33</v>
      </c>
      <c r="H123" s="140"/>
    </row>
    <row r="124" spans="1:8" ht="38.25">
      <c r="A124" s="104" t="s">
        <v>628</v>
      </c>
      <c r="B124" s="105"/>
      <c r="C124" s="105" t="s">
        <v>533</v>
      </c>
      <c r="D124" s="105" t="s">
        <v>102</v>
      </c>
      <c r="E124" s="106" t="s">
        <v>148</v>
      </c>
      <c r="F124" s="196"/>
      <c r="G124" s="197">
        <f>G125</f>
        <v>57294342</v>
      </c>
      <c r="H124" s="140"/>
    </row>
    <row r="125" spans="1:8" ht="25.5">
      <c r="A125" s="108" t="s">
        <v>228</v>
      </c>
      <c r="B125" s="105"/>
      <c r="C125" s="105" t="s">
        <v>533</v>
      </c>
      <c r="D125" s="105" t="s">
        <v>102</v>
      </c>
      <c r="E125" s="106" t="s">
        <v>148</v>
      </c>
      <c r="F125" s="196">
        <v>200</v>
      </c>
      <c r="G125" s="197">
        <v>57294342</v>
      </c>
      <c r="H125" s="140"/>
    </row>
    <row r="126" spans="1:8" ht="38.25">
      <c r="A126" s="49" t="s">
        <v>628</v>
      </c>
      <c r="B126" s="49"/>
      <c r="C126" s="195" t="s">
        <v>533</v>
      </c>
      <c r="D126" s="195" t="s">
        <v>102</v>
      </c>
      <c r="E126" s="48" t="s">
        <v>627</v>
      </c>
      <c r="F126" s="195" t="s">
        <v>87</v>
      </c>
      <c r="G126" s="197">
        <f>G127</f>
        <v>3267684.33</v>
      </c>
      <c r="H126" s="140"/>
    </row>
    <row r="127" spans="1:8" ht="25.5">
      <c r="A127" s="5" t="s">
        <v>228</v>
      </c>
      <c r="B127" s="5"/>
      <c r="C127" s="195" t="s">
        <v>533</v>
      </c>
      <c r="D127" s="195" t="s">
        <v>102</v>
      </c>
      <c r="E127" s="48" t="s">
        <v>627</v>
      </c>
      <c r="F127" s="195">
        <v>200</v>
      </c>
      <c r="G127" s="194">
        <v>3267684.33</v>
      </c>
      <c r="H127" s="140"/>
    </row>
    <row r="128" spans="1:8" ht="38.25" hidden="1">
      <c r="A128" s="5" t="s">
        <v>65</v>
      </c>
      <c r="B128" s="5"/>
      <c r="C128" s="195" t="s">
        <v>533</v>
      </c>
      <c r="D128" s="195" t="s">
        <v>102</v>
      </c>
      <c r="E128" s="196" t="s">
        <v>66</v>
      </c>
      <c r="F128" s="195"/>
      <c r="G128" s="197">
        <f>G129</f>
        <v>0</v>
      </c>
      <c r="H128" s="140"/>
    </row>
    <row r="129" spans="1:8" ht="24" hidden="1">
      <c r="A129" s="438" t="s">
        <v>744</v>
      </c>
      <c r="B129" s="438"/>
      <c r="C129" s="195" t="s">
        <v>533</v>
      </c>
      <c r="D129" s="195" t="s">
        <v>102</v>
      </c>
      <c r="E129" s="196" t="s">
        <v>745</v>
      </c>
      <c r="F129" s="195"/>
      <c r="G129" s="197">
        <f>G130</f>
        <v>0</v>
      </c>
      <c r="H129" s="140"/>
    </row>
    <row r="130" spans="1:8" ht="25.5" hidden="1">
      <c r="A130" s="443" t="s">
        <v>221</v>
      </c>
      <c r="B130" s="443"/>
      <c r="C130" s="195" t="s">
        <v>533</v>
      </c>
      <c r="D130" s="195" t="s">
        <v>102</v>
      </c>
      <c r="E130" s="196" t="s">
        <v>745</v>
      </c>
      <c r="F130" s="195">
        <v>400</v>
      </c>
      <c r="G130" s="194"/>
      <c r="H130" s="140"/>
    </row>
    <row r="131" spans="1:8" ht="89.25">
      <c r="A131" s="440" t="s">
        <v>260</v>
      </c>
      <c r="B131" s="440"/>
      <c r="C131" s="195" t="s">
        <v>533</v>
      </c>
      <c r="D131" s="195" t="s">
        <v>102</v>
      </c>
      <c r="E131" s="199" t="s">
        <v>30</v>
      </c>
      <c r="F131" s="195"/>
      <c r="G131" s="197">
        <f>G132</f>
        <v>200272</v>
      </c>
      <c r="H131" s="140"/>
    </row>
    <row r="132" spans="1:8" ht="63.75">
      <c r="A132" s="437" t="s">
        <v>99</v>
      </c>
      <c r="B132" s="437"/>
      <c r="C132" s="195" t="s">
        <v>533</v>
      </c>
      <c r="D132" s="195" t="s">
        <v>102</v>
      </c>
      <c r="E132" s="196" t="s">
        <v>449</v>
      </c>
      <c r="F132" s="195"/>
      <c r="G132" s="197">
        <f>G133</f>
        <v>200272</v>
      </c>
      <c r="H132" s="140"/>
    </row>
    <row r="133" spans="1:8" ht="38.25">
      <c r="A133" s="442" t="s">
        <v>629</v>
      </c>
      <c r="B133" s="442"/>
      <c r="C133" s="195" t="s">
        <v>533</v>
      </c>
      <c r="D133" s="195" t="s">
        <v>102</v>
      </c>
      <c r="E133" s="196" t="s">
        <v>347</v>
      </c>
      <c r="F133" s="195"/>
      <c r="G133" s="197">
        <f>G134</f>
        <v>200272</v>
      </c>
      <c r="H133" s="140"/>
    </row>
    <row r="134" spans="1:8" ht="12.75">
      <c r="A134" s="443" t="s">
        <v>77</v>
      </c>
      <c r="B134" s="443"/>
      <c r="C134" s="195" t="s">
        <v>533</v>
      </c>
      <c r="D134" s="195" t="s">
        <v>102</v>
      </c>
      <c r="E134" s="196" t="s">
        <v>347</v>
      </c>
      <c r="F134" s="195">
        <v>800</v>
      </c>
      <c r="G134" s="194">
        <v>200272</v>
      </c>
      <c r="H134" s="140"/>
    </row>
    <row r="135" spans="1:8" ht="25.5">
      <c r="A135" s="444" t="s">
        <v>551</v>
      </c>
      <c r="B135" s="445"/>
      <c r="C135" s="411" t="s">
        <v>533</v>
      </c>
      <c r="D135" s="411">
        <v>12</v>
      </c>
      <c r="E135" s="60"/>
      <c r="F135" s="411"/>
      <c r="G135" s="55">
        <f>G136+G140</f>
        <v>400000</v>
      </c>
      <c r="H135" s="140"/>
    </row>
    <row r="136" spans="1:8" ht="38.25" hidden="1">
      <c r="A136" s="211" t="s">
        <v>48</v>
      </c>
      <c r="B136" s="445"/>
      <c r="C136" s="195" t="s">
        <v>533</v>
      </c>
      <c r="D136" s="195">
        <v>12</v>
      </c>
      <c r="E136" s="196" t="s">
        <v>630</v>
      </c>
      <c r="F136" s="195"/>
      <c r="G136" s="55">
        <f>G137</f>
        <v>0</v>
      </c>
      <c r="H136" s="140"/>
    </row>
    <row r="137" spans="1:8" ht="38.25" hidden="1">
      <c r="A137" s="439" t="s">
        <v>334</v>
      </c>
      <c r="B137" s="445"/>
      <c r="C137" s="195" t="s">
        <v>533</v>
      </c>
      <c r="D137" s="195">
        <v>12</v>
      </c>
      <c r="E137" s="196" t="s">
        <v>632</v>
      </c>
      <c r="F137" s="195"/>
      <c r="G137" s="55">
        <f>G138</f>
        <v>0</v>
      </c>
      <c r="H137" s="140"/>
    </row>
    <row r="138" spans="1:8" ht="38.25" hidden="1">
      <c r="A138" s="439" t="s">
        <v>631</v>
      </c>
      <c r="B138" s="445"/>
      <c r="C138" s="195" t="s">
        <v>533</v>
      </c>
      <c r="D138" s="195">
        <v>12</v>
      </c>
      <c r="E138" s="196" t="s">
        <v>98</v>
      </c>
      <c r="F138" s="195"/>
      <c r="G138" s="55">
        <f>G139</f>
        <v>0</v>
      </c>
      <c r="H138" s="140"/>
    </row>
    <row r="139" spans="1:8" ht="12.75" hidden="1">
      <c r="A139" s="443" t="s">
        <v>77</v>
      </c>
      <c r="B139" s="445"/>
      <c r="C139" s="195" t="s">
        <v>533</v>
      </c>
      <c r="D139" s="195">
        <v>12</v>
      </c>
      <c r="E139" s="196" t="s">
        <v>98</v>
      </c>
      <c r="F139" s="195">
        <v>800</v>
      </c>
      <c r="G139" s="55">
        <v>0</v>
      </c>
      <c r="H139" s="140"/>
    </row>
    <row r="140" spans="1:8" ht="25.5">
      <c r="A140" s="54" t="s">
        <v>626</v>
      </c>
      <c r="B140" s="445"/>
      <c r="C140" s="51" t="s">
        <v>533</v>
      </c>
      <c r="D140" s="51">
        <v>12</v>
      </c>
      <c r="E140" s="48" t="s">
        <v>14</v>
      </c>
      <c r="F140" s="51"/>
      <c r="G140" s="55">
        <f>G141</f>
        <v>400000</v>
      </c>
      <c r="H140" s="140"/>
    </row>
    <row r="141" spans="1:8" ht="25.5">
      <c r="A141" s="50" t="s">
        <v>636</v>
      </c>
      <c r="B141" s="445"/>
      <c r="C141" s="51" t="s">
        <v>533</v>
      </c>
      <c r="D141" s="51">
        <v>12</v>
      </c>
      <c r="E141" s="60" t="s">
        <v>16</v>
      </c>
      <c r="F141" s="51"/>
      <c r="G141" s="55">
        <f>G142+G144</f>
        <v>400000</v>
      </c>
      <c r="H141" s="140"/>
    </row>
    <row r="142" spans="1:8" ht="38.25">
      <c r="A142" s="53" t="s">
        <v>96</v>
      </c>
      <c r="B142" s="445"/>
      <c r="C142" s="51" t="s">
        <v>533</v>
      </c>
      <c r="D142" s="51">
        <v>12</v>
      </c>
      <c r="E142" s="48" t="s">
        <v>97</v>
      </c>
      <c r="F142" s="51"/>
      <c r="G142" s="55">
        <f>G143</f>
        <v>400000</v>
      </c>
      <c r="H142" s="140"/>
    </row>
    <row r="143" spans="1:8" ht="25.5">
      <c r="A143" s="58" t="s">
        <v>228</v>
      </c>
      <c r="B143" s="446"/>
      <c r="C143" s="59" t="s">
        <v>533</v>
      </c>
      <c r="D143" s="59">
        <v>12</v>
      </c>
      <c r="E143" s="61" t="s">
        <v>97</v>
      </c>
      <c r="F143" s="59">
        <v>200</v>
      </c>
      <c r="G143" s="92">
        <v>400000</v>
      </c>
      <c r="H143" s="140"/>
    </row>
    <row r="144" spans="1:8" ht="25.5" hidden="1">
      <c r="A144" s="149" t="s">
        <v>36</v>
      </c>
      <c r="B144" s="447"/>
      <c r="C144" s="85" t="s">
        <v>533</v>
      </c>
      <c r="D144" s="85">
        <v>12</v>
      </c>
      <c r="E144" s="110" t="s">
        <v>341</v>
      </c>
      <c r="F144" s="85"/>
      <c r="G144" s="91">
        <f>G145</f>
        <v>0</v>
      </c>
      <c r="H144" s="140"/>
    </row>
    <row r="145" spans="1:8" ht="25.5" hidden="1">
      <c r="A145" s="87" t="s">
        <v>228</v>
      </c>
      <c r="B145" s="447"/>
      <c r="C145" s="85" t="s">
        <v>533</v>
      </c>
      <c r="D145" s="85">
        <v>12</v>
      </c>
      <c r="E145" s="110" t="s">
        <v>341</v>
      </c>
      <c r="F145" s="85">
        <v>200</v>
      </c>
      <c r="G145" s="91">
        <v>0</v>
      </c>
      <c r="H145" s="140"/>
    </row>
    <row r="146" spans="1:8" ht="12.75">
      <c r="A146" s="174" t="s">
        <v>538</v>
      </c>
      <c r="B146" s="174"/>
      <c r="C146" s="172" t="s">
        <v>653</v>
      </c>
      <c r="D146" s="216" t="s">
        <v>462</v>
      </c>
      <c r="E146" s="172" t="s">
        <v>87</v>
      </c>
      <c r="F146" s="172" t="s">
        <v>87</v>
      </c>
      <c r="G146" s="171">
        <f>G147+G173+G167</f>
        <v>87664320.34</v>
      </c>
      <c r="H146" s="140"/>
    </row>
    <row r="147" spans="1:8" ht="12.75">
      <c r="A147" s="214" t="s">
        <v>235</v>
      </c>
      <c r="B147" s="214"/>
      <c r="C147" s="213" t="s">
        <v>653</v>
      </c>
      <c r="D147" s="228" t="s">
        <v>530</v>
      </c>
      <c r="E147" s="227"/>
      <c r="F147" s="227"/>
      <c r="G147" s="197">
        <f>G148</f>
        <v>70086376.36</v>
      </c>
      <c r="H147" s="140"/>
    </row>
    <row r="148" spans="1:8" ht="63.75">
      <c r="A148" s="211" t="s">
        <v>479</v>
      </c>
      <c r="B148" s="211"/>
      <c r="C148" s="195" t="s">
        <v>653</v>
      </c>
      <c r="D148" s="223" t="s">
        <v>530</v>
      </c>
      <c r="E148" s="196" t="s">
        <v>32</v>
      </c>
      <c r="F148" s="227"/>
      <c r="G148" s="197">
        <f>G149+G163</f>
        <v>70086376.36</v>
      </c>
      <c r="H148" s="140"/>
    </row>
    <row r="149" spans="1:8" ht="89.25">
      <c r="A149" s="4" t="s">
        <v>215</v>
      </c>
      <c r="B149" s="4"/>
      <c r="C149" s="195" t="s">
        <v>653</v>
      </c>
      <c r="D149" s="223" t="s">
        <v>530</v>
      </c>
      <c r="E149" s="196" t="s">
        <v>216</v>
      </c>
      <c r="F149" s="227"/>
      <c r="G149" s="197">
        <f>G153+G150+G160</f>
        <v>69423376.36</v>
      </c>
      <c r="H149" s="140"/>
    </row>
    <row r="150" spans="1:8" ht="33.75">
      <c r="A150" s="484" t="s">
        <v>998</v>
      </c>
      <c r="B150" s="4"/>
      <c r="C150" s="195" t="s">
        <v>653</v>
      </c>
      <c r="D150" s="223" t="s">
        <v>530</v>
      </c>
      <c r="E150" s="148" t="s">
        <v>218</v>
      </c>
      <c r="F150" s="166"/>
      <c r="G150" s="197">
        <f>G151</f>
        <v>30000</v>
      </c>
      <c r="H150" s="140"/>
    </row>
    <row r="151" spans="1:8" ht="22.5">
      <c r="A151" s="485" t="s">
        <v>999</v>
      </c>
      <c r="B151" s="4"/>
      <c r="C151" s="195" t="s">
        <v>653</v>
      </c>
      <c r="D151" s="223" t="s">
        <v>530</v>
      </c>
      <c r="E151" s="148" t="s">
        <v>1000</v>
      </c>
      <c r="F151" s="166"/>
      <c r="G151" s="197">
        <f>G152</f>
        <v>30000</v>
      </c>
      <c r="H151" s="140"/>
    </row>
    <row r="152" spans="1:8" ht="25.5">
      <c r="A152" s="486" t="s">
        <v>228</v>
      </c>
      <c r="B152" s="4"/>
      <c r="C152" s="195" t="s">
        <v>653</v>
      </c>
      <c r="D152" s="223" t="s">
        <v>530</v>
      </c>
      <c r="E152" s="148" t="s">
        <v>1000</v>
      </c>
      <c r="F152" s="147">
        <v>200</v>
      </c>
      <c r="G152" s="197">
        <v>30000</v>
      </c>
      <c r="H152" s="140"/>
    </row>
    <row r="153" spans="1:8" ht="38.25">
      <c r="A153" s="448" t="s">
        <v>749</v>
      </c>
      <c r="B153" s="448"/>
      <c r="C153" s="195" t="s">
        <v>653</v>
      </c>
      <c r="D153" s="223" t="s">
        <v>530</v>
      </c>
      <c r="E153" s="196" t="s">
        <v>64</v>
      </c>
      <c r="F153" s="227"/>
      <c r="G153" s="197">
        <f>G154+G156+G158</f>
        <v>69303376.36</v>
      </c>
      <c r="H153" s="140"/>
    </row>
    <row r="154" spans="1:8" ht="38.25">
      <c r="A154" s="448" t="s">
        <v>92</v>
      </c>
      <c r="B154" s="448"/>
      <c r="C154" s="195" t="s">
        <v>653</v>
      </c>
      <c r="D154" s="223" t="s">
        <v>530</v>
      </c>
      <c r="E154" s="196" t="s">
        <v>705</v>
      </c>
      <c r="F154" s="227"/>
      <c r="G154" s="197">
        <f>G155</f>
        <v>35871602.67</v>
      </c>
      <c r="H154" s="140"/>
    </row>
    <row r="155" spans="1:8" ht="25.5">
      <c r="A155" s="443" t="s">
        <v>221</v>
      </c>
      <c r="B155" s="448"/>
      <c r="C155" s="195" t="s">
        <v>653</v>
      </c>
      <c r="D155" s="223" t="s">
        <v>530</v>
      </c>
      <c r="E155" s="196" t="s">
        <v>705</v>
      </c>
      <c r="F155" s="195">
        <v>400</v>
      </c>
      <c r="G155" s="197">
        <v>35871602.67</v>
      </c>
      <c r="H155" s="140"/>
    </row>
    <row r="156" spans="1:8" ht="38.25">
      <c r="A156" s="448" t="s">
        <v>93</v>
      </c>
      <c r="B156" s="448"/>
      <c r="C156" s="195" t="s">
        <v>653</v>
      </c>
      <c r="D156" s="223" t="s">
        <v>530</v>
      </c>
      <c r="E156" s="196" t="s">
        <v>706</v>
      </c>
      <c r="F156" s="227"/>
      <c r="G156" s="197">
        <f>G157</f>
        <v>18972534.33</v>
      </c>
      <c r="H156" s="140"/>
    </row>
    <row r="157" spans="1:8" ht="25.5">
      <c r="A157" s="443" t="s">
        <v>221</v>
      </c>
      <c r="B157" s="448"/>
      <c r="C157" s="195" t="s">
        <v>653</v>
      </c>
      <c r="D157" s="223" t="s">
        <v>530</v>
      </c>
      <c r="E157" s="196" t="s">
        <v>706</v>
      </c>
      <c r="F157" s="195">
        <v>400</v>
      </c>
      <c r="G157" s="197">
        <v>18972534.33</v>
      </c>
      <c r="H157" s="140"/>
    </row>
    <row r="158" spans="1:8" ht="76.5">
      <c r="A158" s="441" t="s">
        <v>67</v>
      </c>
      <c r="B158" s="448"/>
      <c r="C158" s="195" t="s">
        <v>653</v>
      </c>
      <c r="D158" s="223" t="s">
        <v>530</v>
      </c>
      <c r="E158" s="196" t="s">
        <v>292</v>
      </c>
      <c r="F158" s="227"/>
      <c r="G158" s="197">
        <f>G159</f>
        <v>14459239.36</v>
      </c>
      <c r="H158" s="140"/>
    </row>
    <row r="159" spans="1:8" ht="25.5">
      <c r="A159" s="443" t="s">
        <v>221</v>
      </c>
      <c r="B159" s="443"/>
      <c r="C159" s="195" t="s">
        <v>653</v>
      </c>
      <c r="D159" s="223" t="s">
        <v>530</v>
      </c>
      <c r="E159" s="196" t="s">
        <v>292</v>
      </c>
      <c r="F159" s="195">
        <v>400</v>
      </c>
      <c r="G159" s="194">
        <v>14459239.36</v>
      </c>
      <c r="H159" s="140"/>
    </row>
    <row r="160" spans="1:8" ht="38.25">
      <c r="A160" s="159" t="s">
        <v>1009</v>
      </c>
      <c r="B160" s="443"/>
      <c r="C160" s="147" t="s">
        <v>653</v>
      </c>
      <c r="D160" s="163" t="s">
        <v>530</v>
      </c>
      <c r="E160" s="148" t="s">
        <v>1010</v>
      </c>
      <c r="F160" s="147"/>
      <c r="G160" s="158">
        <f>G161</f>
        <v>90000</v>
      </c>
      <c r="H160" s="140"/>
    </row>
    <row r="161" spans="1:8" ht="38.25">
      <c r="A161" s="159" t="s">
        <v>999</v>
      </c>
      <c r="B161" s="443"/>
      <c r="C161" s="147" t="s">
        <v>653</v>
      </c>
      <c r="D161" s="163" t="s">
        <v>530</v>
      </c>
      <c r="E161" s="148" t="s">
        <v>1011</v>
      </c>
      <c r="F161" s="147"/>
      <c r="G161" s="158">
        <f>G162</f>
        <v>90000</v>
      </c>
      <c r="H161" s="140"/>
    </row>
    <row r="162" spans="1:8" ht="25.5">
      <c r="A162" s="159" t="s">
        <v>228</v>
      </c>
      <c r="B162" s="443"/>
      <c r="C162" s="147" t="s">
        <v>653</v>
      </c>
      <c r="D162" s="163" t="s">
        <v>530</v>
      </c>
      <c r="E162" s="148" t="s">
        <v>1011</v>
      </c>
      <c r="F162" s="147" t="s">
        <v>74</v>
      </c>
      <c r="G162" s="158">
        <v>90000</v>
      </c>
      <c r="H162" s="140"/>
    </row>
    <row r="163" spans="1:8" ht="76.5">
      <c r="A163" s="84" t="s">
        <v>480</v>
      </c>
      <c r="B163" s="4"/>
      <c r="C163" s="195" t="s">
        <v>653</v>
      </c>
      <c r="D163" s="223" t="s">
        <v>530</v>
      </c>
      <c r="E163" s="199" t="s">
        <v>556</v>
      </c>
      <c r="F163" s="227"/>
      <c r="G163" s="197">
        <f>G164</f>
        <v>663000</v>
      </c>
      <c r="H163" s="140"/>
    </row>
    <row r="164" spans="1:8" ht="38.25">
      <c r="A164" s="449" t="s">
        <v>234</v>
      </c>
      <c r="B164" s="449"/>
      <c r="C164" s="195" t="s">
        <v>653</v>
      </c>
      <c r="D164" s="223" t="s">
        <v>530</v>
      </c>
      <c r="E164" s="196" t="s">
        <v>267</v>
      </c>
      <c r="F164" s="227"/>
      <c r="G164" s="197">
        <f>G165</f>
        <v>663000</v>
      </c>
      <c r="H164" s="140"/>
    </row>
    <row r="165" spans="1:8" ht="24">
      <c r="A165" s="438" t="s">
        <v>266</v>
      </c>
      <c r="B165" s="438"/>
      <c r="C165" s="195" t="s">
        <v>653</v>
      </c>
      <c r="D165" s="223" t="s">
        <v>530</v>
      </c>
      <c r="E165" s="196" t="s">
        <v>265</v>
      </c>
      <c r="F165" s="227"/>
      <c r="G165" s="197">
        <f>SUM(G166:G166)</f>
        <v>663000</v>
      </c>
      <c r="H165" s="140"/>
    </row>
    <row r="166" spans="1:8" ht="25.5">
      <c r="A166" s="5" t="s">
        <v>228</v>
      </c>
      <c r="B166" s="5"/>
      <c r="C166" s="195" t="s">
        <v>653</v>
      </c>
      <c r="D166" s="223" t="s">
        <v>530</v>
      </c>
      <c r="E166" s="196" t="s">
        <v>265</v>
      </c>
      <c r="F166" s="195">
        <v>200</v>
      </c>
      <c r="G166" s="194">
        <v>663000</v>
      </c>
      <c r="H166" s="140"/>
    </row>
    <row r="167" spans="1:8" ht="12.75">
      <c r="A167" s="152" t="s">
        <v>950</v>
      </c>
      <c r="B167" s="5"/>
      <c r="C167" s="151" t="s">
        <v>653</v>
      </c>
      <c r="D167" s="151" t="s">
        <v>532</v>
      </c>
      <c r="E167" s="151"/>
      <c r="F167" s="151"/>
      <c r="G167" s="146">
        <f>G168</f>
        <v>364664.94</v>
      </c>
      <c r="H167" s="140"/>
    </row>
    <row r="168" spans="1:8" ht="50.25" customHeight="1">
      <c r="A168" s="150" t="s">
        <v>951</v>
      </c>
      <c r="B168" s="5"/>
      <c r="C168" s="147" t="s">
        <v>653</v>
      </c>
      <c r="D168" s="163" t="s">
        <v>532</v>
      </c>
      <c r="E168" s="148" t="s">
        <v>32</v>
      </c>
      <c r="F168" s="166"/>
      <c r="G168" s="146">
        <f>G169</f>
        <v>364664.94</v>
      </c>
      <c r="H168" s="140"/>
    </row>
    <row r="169" spans="1:8" ht="76.5">
      <c r="A169" s="84" t="s">
        <v>952</v>
      </c>
      <c r="B169" s="5"/>
      <c r="C169" s="147" t="s">
        <v>653</v>
      </c>
      <c r="D169" s="163" t="s">
        <v>532</v>
      </c>
      <c r="E169" s="160" t="s">
        <v>556</v>
      </c>
      <c r="F169" s="166"/>
      <c r="G169" s="146">
        <f>G170</f>
        <v>364664.94</v>
      </c>
      <c r="H169" s="140"/>
    </row>
    <row r="170" spans="1:8" ht="25.5">
      <c r="A170" s="7" t="s">
        <v>953</v>
      </c>
      <c r="B170" s="5"/>
      <c r="C170" s="147" t="s">
        <v>653</v>
      </c>
      <c r="D170" s="163" t="s">
        <v>532</v>
      </c>
      <c r="E170" s="148" t="s">
        <v>954</v>
      </c>
      <c r="F170" s="166"/>
      <c r="G170" s="146">
        <f>G171</f>
        <v>364664.94</v>
      </c>
      <c r="H170" s="140"/>
    </row>
    <row r="171" spans="1:8" ht="12.75">
      <c r="A171" s="7" t="s">
        <v>955</v>
      </c>
      <c r="B171" s="5"/>
      <c r="C171" s="147" t="s">
        <v>653</v>
      </c>
      <c r="D171" s="163" t="s">
        <v>532</v>
      </c>
      <c r="E171" s="148" t="s">
        <v>956</v>
      </c>
      <c r="F171" s="166"/>
      <c r="G171" s="146">
        <f>G172</f>
        <v>364664.94</v>
      </c>
      <c r="H171" s="140"/>
    </row>
    <row r="172" spans="1:8" ht="25.5">
      <c r="A172" s="7" t="s">
        <v>228</v>
      </c>
      <c r="B172" s="5"/>
      <c r="C172" s="147" t="s">
        <v>653</v>
      </c>
      <c r="D172" s="163" t="s">
        <v>532</v>
      </c>
      <c r="E172" s="148" t="s">
        <v>956</v>
      </c>
      <c r="F172" s="147" t="s">
        <v>74</v>
      </c>
      <c r="G172" s="146">
        <v>364664.94</v>
      </c>
      <c r="H172" s="140"/>
    </row>
    <row r="173" spans="1:8" ht="12.75">
      <c r="A173" s="214" t="s">
        <v>560</v>
      </c>
      <c r="B173" s="214"/>
      <c r="C173" s="213" t="s">
        <v>653</v>
      </c>
      <c r="D173" s="213" t="s">
        <v>101</v>
      </c>
      <c r="E173" s="213" t="s">
        <v>87</v>
      </c>
      <c r="F173" s="213" t="s">
        <v>87</v>
      </c>
      <c r="G173" s="197">
        <f>G174+G184+G193</f>
        <v>17213279.04</v>
      </c>
      <c r="H173" s="140"/>
    </row>
    <row r="174" spans="1:8" ht="51.75" customHeight="1">
      <c r="A174" s="211" t="s">
        <v>479</v>
      </c>
      <c r="B174" s="211"/>
      <c r="C174" s="195" t="s">
        <v>653</v>
      </c>
      <c r="D174" s="195" t="s">
        <v>101</v>
      </c>
      <c r="E174" s="196" t="s">
        <v>32</v>
      </c>
      <c r="F174" s="195" t="s">
        <v>87</v>
      </c>
      <c r="G174" s="197">
        <f>G175</f>
        <v>11589350.08</v>
      </c>
      <c r="H174" s="140"/>
    </row>
    <row r="175" spans="1:8" ht="76.5">
      <c r="A175" s="4" t="s">
        <v>480</v>
      </c>
      <c r="B175" s="4"/>
      <c r="C175" s="195" t="s">
        <v>653</v>
      </c>
      <c r="D175" s="195" t="s">
        <v>101</v>
      </c>
      <c r="E175" s="199" t="s">
        <v>556</v>
      </c>
      <c r="F175" s="198" t="s">
        <v>87</v>
      </c>
      <c r="G175" s="197">
        <f>G176</f>
        <v>11589350.08</v>
      </c>
      <c r="H175" s="140"/>
    </row>
    <row r="176" spans="1:8" ht="25.5">
      <c r="A176" s="449" t="s">
        <v>353</v>
      </c>
      <c r="B176" s="449"/>
      <c r="C176" s="195" t="s">
        <v>653</v>
      </c>
      <c r="D176" s="195" t="s">
        <v>101</v>
      </c>
      <c r="E176" s="196" t="s">
        <v>454</v>
      </c>
      <c r="F176" s="198"/>
      <c r="G176" s="197">
        <f>G177+G180+G182</f>
        <v>11589350.08</v>
      </c>
      <c r="H176" s="140"/>
    </row>
    <row r="177" spans="1:8" ht="12.75">
      <c r="A177" s="442" t="s">
        <v>732</v>
      </c>
      <c r="B177" s="442"/>
      <c r="C177" s="195" t="s">
        <v>653</v>
      </c>
      <c r="D177" s="195" t="s">
        <v>101</v>
      </c>
      <c r="E177" s="196" t="s">
        <v>455</v>
      </c>
      <c r="F177" s="195" t="s">
        <v>87</v>
      </c>
      <c r="G177" s="197">
        <f>SUM(G178:G179)</f>
        <v>11589350.08</v>
      </c>
      <c r="H177" s="140"/>
    </row>
    <row r="178" spans="1:8" ht="25.5">
      <c r="A178" s="5" t="s">
        <v>228</v>
      </c>
      <c r="B178" s="5"/>
      <c r="C178" s="195" t="s">
        <v>653</v>
      </c>
      <c r="D178" s="195" t="s">
        <v>101</v>
      </c>
      <c r="E178" s="196" t="s">
        <v>455</v>
      </c>
      <c r="F178" s="195">
        <v>200</v>
      </c>
      <c r="G178" s="194">
        <v>3730774.23</v>
      </c>
      <c r="H178" s="140"/>
    </row>
    <row r="179" spans="1:8" ht="24" customHeight="1">
      <c r="A179" s="5" t="s">
        <v>77</v>
      </c>
      <c r="B179" s="5"/>
      <c r="C179" s="195" t="s">
        <v>653</v>
      </c>
      <c r="D179" s="195" t="s">
        <v>101</v>
      </c>
      <c r="E179" s="196" t="s">
        <v>455</v>
      </c>
      <c r="F179" s="195">
        <v>800</v>
      </c>
      <c r="G179" s="194">
        <v>7858575.85</v>
      </c>
      <c r="H179" s="140"/>
    </row>
    <row r="180" spans="1:8" ht="12.75" hidden="1">
      <c r="A180" s="159" t="s">
        <v>814</v>
      </c>
      <c r="B180" s="5"/>
      <c r="C180" s="147" t="s">
        <v>653</v>
      </c>
      <c r="D180" s="147" t="s">
        <v>101</v>
      </c>
      <c r="E180" s="148" t="s">
        <v>813</v>
      </c>
      <c r="F180" s="147"/>
      <c r="G180" s="158">
        <f>G181</f>
        <v>0</v>
      </c>
      <c r="H180" s="140"/>
    </row>
    <row r="181" spans="1:8" ht="25.5" hidden="1">
      <c r="A181" s="159" t="s">
        <v>228</v>
      </c>
      <c r="B181" s="5"/>
      <c r="C181" s="147" t="s">
        <v>653</v>
      </c>
      <c r="D181" s="147" t="s">
        <v>101</v>
      </c>
      <c r="E181" s="148" t="s">
        <v>813</v>
      </c>
      <c r="F181" s="147">
        <v>200</v>
      </c>
      <c r="G181" s="158"/>
      <c r="H181" s="140"/>
    </row>
    <row r="182" spans="1:8" ht="12.75" hidden="1">
      <c r="A182" s="159" t="s">
        <v>812</v>
      </c>
      <c r="B182" s="5"/>
      <c r="C182" s="147" t="s">
        <v>653</v>
      </c>
      <c r="D182" s="147" t="s">
        <v>101</v>
      </c>
      <c r="E182" s="148" t="s">
        <v>811</v>
      </c>
      <c r="F182" s="147"/>
      <c r="G182" s="158">
        <f>G183</f>
        <v>0</v>
      </c>
      <c r="H182" s="140"/>
    </row>
    <row r="183" spans="1:8" ht="25.5" hidden="1">
      <c r="A183" s="159" t="s">
        <v>228</v>
      </c>
      <c r="B183" s="5"/>
      <c r="C183" s="147" t="s">
        <v>653</v>
      </c>
      <c r="D183" s="147" t="s">
        <v>101</v>
      </c>
      <c r="E183" s="148" t="s">
        <v>811</v>
      </c>
      <c r="F183" s="147">
        <v>200</v>
      </c>
      <c r="G183" s="158"/>
      <c r="H183" s="140"/>
    </row>
    <row r="184" spans="1:8" ht="51">
      <c r="A184" s="211" t="s">
        <v>475</v>
      </c>
      <c r="B184" s="211"/>
      <c r="C184" s="195" t="s">
        <v>653</v>
      </c>
      <c r="D184" s="195" t="s">
        <v>101</v>
      </c>
      <c r="E184" s="196" t="s">
        <v>638</v>
      </c>
      <c r="F184" s="195"/>
      <c r="G184" s="197">
        <f>G185+G187+G190</f>
        <v>5623928.96</v>
      </c>
      <c r="H184" s="140"/>
    </row>
    <row r="185" spans="1:8" ht="51" hidden="1">
      <c r="A185" s="439" t="s">
        <v>400</v>
      </c>
      <c r="B185" s="211"/>
      <c r="C185" s="195" t="s">
        <v>653</v>
      </c>
      <c r="D185" s="195" t="s">
        <v>101</v>
      </c>
      <c r="E185" s="196" t="s">
        <v>401</v>
      </c>
      <c r="F185" s="195"/>
      <c r="G185" s="197">
        <f>G186</f>
        <v>0</v>
      </c>
      <c r="H185" s="140"/>
    </row>
    <row r="186" spans="1:8" ht="12.75" hidden="1">
      <c r="A186" s="5" t="s">
        <v>77</v>
      </c>
      <c r="B186" s="211"/>
      <c r="C186" s="195" t="s">
        <v>653</v>
      </c>
      <c r="D186" s="195" t="s">
        <v>101</v>
      </c>
      <c r="E186" s="196" t="s">
        <v>401</v>
      </c>
      <c r="F186" s="195">
        <v>800</v>
      </c>
      <c r="G186" s="197"/>
      <c r="H186" s="140"/>
    </row>
    <row r="187" spans="1:8" ht="25.5">
      <c r="A187" s="449" t="s">
        <v>709</v>
      </c>
      <c r="B187" s="449"/>
      <c r="C187" s="195" t="s">
        <v>653</v>
      </c>
      <c r="D187" s="195" t="s">
        <v>101</v>
      </c>
      <c r="E187" s="196" t="s">
        <v>336</v>
      </c>
      <c r="F187" s="195"/>
      <c r="G187" s="197">
        <f>G188</f>
        <v>5585925.8</v>
      </c>
      <c r="H187" s="140"/>
    </row>
    <row r="188" spans="1:8" ht="25.5">
      <c r="A188" s="450" t="s">
        <v>338</v>
      </c>
      <c r="B188" s="450"/>
      <c r="C188" s="195" t="s">
        <v>653</v>
      </c>
      <c r="D188" s="195" t="s">
        <v>101</v>
      </c>
      <c r="E188" s="196" t="s">
        <v>337</v>
      </c>
      <c r="F188" s="195"/>
      <c r="G188" s="197">
        <f>G189</f>
        <v>5585925.8</v>
      </c>
      <c r="H188" s="140"/>
    </row>
    <row r="189" spans="1:8" ht="25.5">
      <c r="A189" s="5" t="s">
        <v>228</v>
      </c>
      <c r="B189" s="5"/>
      <c r="C189" s="195" t="s">
        <v>653</v>
      </c>
      <c r="D189" s="195" t="s">
        <v>101</v>
      </c>
      <c r="E189" s="196" t="s">
        <v>337</v>
      </c>
      <c r="F189" s="195">
        <v>200</v>
      </c>
      <c r="G189" s="194">
        <v>5585925.8</v>
      </c>
      <c r="H189" s="140"/>
    </row>
    <row r="190" spans="1:8" ht="30" customHeight="1">
      <c r="A190" s="159" t="s">
        <v>871</v>
      </c>
      <c r="B190" s="5"/>
      <c r="C190" s="147" t="s">
        <v>653</v>
      </c>
      <c r="D190" s="147" t="s">
        <v>101</v>
      </c>
      <c r="E190" s="148" t="s">
        <v>872</v>
      </c>
      <c r="F190" s="147"/>
      <c r="G190" s="194">
        <f>G191</f>
        <v>38003.16</v>
      </c>
      <c r="H190" s="140"/>
    </row>
    <row r="191" spans="1:8" ht="25.5">
      <c r="A191" s="159" t="s">
        <v>873</v>
      </c>
      <c r="B191" s="5"/>
      <c r="C191" s="147" t="s">
        <v>653</v>
      </c>
      <c r="D191" s="147" t="s">
        <v>101</v>
      </c>
      <c r="E191" s="148" t="s">
        <v>874</v>
      </c>
      <c r="F191" s="147"/>
      <c r="G191" s="194">
        <f>G192</f>
        <v>38003.16</v>
      </c>
      <c r="H191" s="140"/>
    </row>
    <row r="192" spans="1:8" ht="25.5">
      <c r="A192" s="159" t="s">
        <v>228</v>
      </c>
      <c r="B192" s="5"/>
      <c r="C192" s="147" t="s">
        <v>653</v>
      </c>
      <c r="D192" s="147" t="s">
        <v>101</v>
      </c>
      <c r="E192" s="148" t="s">
        <v>874</v>
      </c>
      <c r="F192" s="147">
        <v>200</v>
      </c>
      <c r="G192" s="194">
        <v>38003.16</v>
      </c>
      <c r="H192" s="140"/>
    </row>
    <row r="193" spans="1:8" ht="25.5" hidden="1">
      <c r="A193" s="211" t="s">
        <v>626</v>
      </c>
      <c r="B193" s="211"/>
      <c r="C193" s="195" t="s">
        <v>653</v>
      </c>
      <c r="D193" s="195" t="s">
        <v>101</v>
      </c>
      <c r="E193" s="196" t="s">
        <v>14</v>
      </c>
      <c r="F193" s="195"/>
      <c r="G193" s="197">
        <f>G194</f>
        <v>0</v>
      </c>
      <c r="H193" s="140"/>
    </row>
    <row r="194" spans="1:8" ht="25.5" hidden="1">
      <c r="A194" s="4" t="s">
        <v>636</v>
      </c>
      <c r="B194" s="4"/>
      <c r="C194" s="195" t="s">
        <v>653</v>
      </c>
      <c r="D194" s="195" t="s">
        <v>101</v>
      </c>
      <c r="E194" s="196" t="s">
        <v>717</v>
      </c>
      <c r="F194" s="195"/>
      <c r="G194" s="197">
        <f>G195+G202</f>
        <v>0</v>
      </c>
      <c r="H194" s="140"/>
    </row>
    <row r="195" spans="1:8" ht="25.5" hidden="1">
      <c r="A195" s="5" t="s">
        <v>718</v>
      </c>
      <c r="B195" s="5"/>
      <c r="C195" s="195" t="s">
        <v>653</v>
      </c>
      <c r="D195" s="195" t="s">
        <v>101</v>
      </c>
      <c r="E195" s="196" t="s">
        <v>399</v>
      </c>
      <c r="F195" s="195"/>
      <c r="G195" s="226">
        <f>G196+G198+G200</f>
        <v>0</v>
      </c>
      <c r="H195" s="140"/>
    </row>
    <row r="196" spans="1:8" ht="38.25" hidden="1">
      <c r="A196" s="5" t="s">
        <v>50</v>
      </c>
      <c r="B196" s="5"/>
      <c r="C196" s="195" t="s">
        <v>653</v>
      </c>
      <c r="D196" s="195" t="s">
        <v>101</v>
      </c>
      <c r="E196" s="196" t="s">
        <v>49</v>
      </c>
      <c r="F196" s="195"/>
      <c r="G196" s="197">
        <f>G197</f>
        <v>0</v>
      </c>
      <c r="H196" s="140"/>
    </row>
    <row r="197" spans="1:8" ht="25.5" hidden="1">
      <c r="A197" s="5" t="s">
        <v>228</v>
      </c>
      <c r="B197" s="5"/>
      <c r="C197" s="195" t="s">
        <v>653</v>
      </c>
      <c r="D197" s="195" t="s">
        <v>101</v>
      </c>
      <c r="E197" s="196" t="s">
        <v>49</v>
      </c>
      <c r="F197" s="195">
        <v>200</v>
      </c>
      <c r="G197" s="197"/>
      <c r="H197" s="140"/>
    </row>
    <row r="198" spans="1:8" ht="51" hidden="1">
      <c r="A198" s="5" t="s">
        <v>51</v>
      </c>
      <c r="B198" s="5"/>
      <c r="C198" s="195" t="s">
        <v>653</v>
      </c>
      <c r="D198" s="195" t="s">
        <v>101</v>
      </c>
      <c r="E198" s="196" t="s">
        <v>52</v>
      </c>
      <c r="F198" s="195"/>
      <c r="G198" s="197">
        <f>G199</f>
        <v>0</v>
      </c>
      <c r="H198" s="140"/>
    </row>
    <row r="199" spans="1:8" ht="15" customHeight="1" hidden="1">
      <c r="A199" s="5" t="s">
        <v>228</v>
      </c>
      <c r="B199" s="5"/>
      <c r="C199" s="195" t="s">
        <v>653</v>
      </c>
      <c r="D199" s="195" t="s">
        <v>101</v>
      </c>
      <c r="E199" s="196" t="s">
        <v>52</v>
      </c>
      <c r="F199" s="195">
        <v>200</v>
      </c>
      <c r="G199" s="197"/>
      <c r="H199" s="140"/>
    </row>
    <row r="200" spans="1:8" ht="52.5" customHeight="1" hidden="1">
      <c r="A200" s="5" t="s">
        <v>53</v>
      </c>
      <c r="B200" s="5"/>
      <c r="C200" s="195" t="s">
        <v>653</v>
      </c>
      <c r="D200" s="195" t="s">
        <v>101</v>
      </c>
      <c r="E200" s="196" t="s">
        <v>54</v>
      </c>
      <c r="F200" s="195"/>
      <c r="G200" s="197">
        <f>G201</f>
        <v>0</v>
      </c>
      <c r="H200" s="140"/>
    </row>
    <row r="201" spans="1:8" ht="25.5" hidden="1">
      <c r="A201" s="5" t="s">
        <v>228</v>
      </c>
      <c r="B201" s="5"/>
      <c r="C201" s="195" t="s">
        <v>653</v>
      </c>
      <c r="D201" s="195" t="s">
        <v>101</v>
      </c>
      <c r="E201" s="196" t="s">
        <v>54</v>
      </c>
      <c r="F201" s="195">
        <v>200</v>
      </c>
      <c r="G201" s="197"/>
      <c r="H201" s="140"/>
    </row>
    <row r="202" spans="1:8" ht="25.5" hidden="1">
      <c r="A202" s="7" t="s">
        <v>748</v>
      </c>
      <c r="B202" s="7"/>
      <c r="C202" s="195" t="s">
        <v>653</v>
      </c>
      <c r="D202" s="195" t="s">
        <v>101</v>
      </c>
      <c r="E202" s="196" t="s">
        <v>398</v>
      </c>
      <c r="F202" s="195"/>
      <c r="G202" s="197">
        <f>G203+G205+G207</f>
        <v>0</v>
      </c>
      <c r="H202" s="140"/>
    </row>
    <row r="203" spans="1:8" ht="38.25" hidden="1">
      <c r="A203" s="7" t="s">
        <v>55</v>
      </c>
      <c r="B203" s="7"/>
      <c r="C203" s="195" t="s">
        <v>653</v>
      </c>
      <c r="D203" s="195" t="s">
        <v>101</v>
      </c>
      <c r="E203" s="196" t="s">
        <v>56</v>
      </c>
      <c r="F203" s="195"/>
      <c r="G203" s="197">
        <f>G204</f>
        <v>0</v>
      </c>
      <c r="H203" s="140"/>
    </row>
    <row r="204" spans="1:8" ht="25.5" hidden="1">
      <c r="A204" s="5" t="s">
        <v>228</v>
      </c>
      <c r="B204" s="7"/>
      <c r="C204" s="195" t="s">
        <v>653</v>
      </c>
      <c r="D204" s="195" t="s">
        <v>101</v>
      </c>
      <c r="E204" s="196" t="s">
        <v>56</v>
      </c>
      <c r="F204" s="195">
        <v>200</v>
      </c>
      <c r="G204" s="197"/>
      <c r="H204" s="140"/>
    </row>
    <row r="205" spans="1:8" ht="51" hidden="1">
      <c r="A205" s="7" t="s">
        <v>57</v>
      </c>
      <c r="B205" s="7"/>
      <c r="C205" s="195" t="s">
        <v>653</v>
      </c>
      <c r="D205" s="195" t="s">
        <v>101</v>
      </c>
      <c r="E205" s="196" t="s">
        <v>58</v>
      </c>
      <c r="F205" s="195"/>
      <c r="G205" s="197">
        <f>G206</f>
        <v>0</v>
      </c>
      <c r="H205" s="140"/>
    </row>
    <row r="206" spans="1:8" ht="25.5" hidden="1">
      <c r="A206" s="5" t="s">
        <v>228</v>
      </c>
      <c r="B206" s="7"/>
      <c r="C206" s="195" t="s">
        <v>653</v>
      </c>
      <c r="D206" s="195" t="s">
        <v>101</v>
      </c>
      <c r="E206" s="196" t="s">
        <v>58</v>
      </c>
      <c r="F206" s="195">
        <v>200</v>
      </c>
      <c r="G206" s="197"/>
      <c r="H206" s="140"/>
    </row>
    <row r="207" spans="1:8" ht="38.25" hidden="1">
      <c r="A207" s="7" t="s">
        <v>59</v>
      </c>
      <c r="B207" s="7"/>
      <c r="C207" s="195" t="s">
        <v>653</v>
      </c>
      <c r="D207" s="195" t="s">
        <v>101</v>
      </c>
      <c r="E207" s="196" t="s">
        <v>60</v>
      </c>
      <c r="F207" s="195"/>
      <c r="G207" s="197">
        <f>G208</f>
        <v>0</v>
      </c>
      <c r="H207" s="140"/>
    </row>
    <row r="208" spans="1:8" ht="25.5" hidden="1">
      <c r="A208" s="193" t="s">
        <v>228</v>
      </c>
      <c r="B208" s="193"/>
      <c r="C208" s="191" t="s">
        <v>653</v>
      </c>
      <c r="D208" s="191" t="s">
        <v>101</v>
      </c>
      <c r="E208" s="192" t="s">
        <v>60</v>
      </c>
      <c r="F208" s="191">
        <v>200</v>
      </c>
      <c r="G208" s="190"/>
      <c r="H208" s="140"/>
    </row>
    <row r="209" spans="1:8" ht="12.75" hidden="1">
      <c r="A209" s="174" t="s">
        <v>327</v>
      </c>
      <c r="B209" s="225"/>
      <c r="C209" s="93" t="s">
        <v>534</v>
      </c>
      <c r="D209" s="94"/>
      <c r="E209" s="95"/>
      <c r="F209" s="94"/>
      <c r="G209" s="96">
        <f>G210</f>
        <v>0</v>
      </c>
      <c r="H209" s="140"/>
    </row>
    <row r="210" spans="1:8" ht="25.5" hidden="1">
      <c r="A210" s="53" t="s">
        <v>95</v>
      </c>
      <c r="B210" s="5"/>
      <c r="C210" s="62" t="s">
        <v>534</v>
      </c>
      <c r="D210" s="62" t="s">
        <v>653</v>
      </c>
      <c r="E210" s="48"/>
      <c r="F210" s="51"/>
      <c r="G210" s="55">
        <f>G211</f>
        <v>0</v>
      </c>
      <c r="H210" s="140"/>
    </row>
    <row r="211" spans="1:8" ht="63.75" hidden="1">
      <c r="A211" s="54" t="s">
        <v>479</v>
      </c>
      <c r="B211" s="5"/>
      <c r="C211" s="62" t="s">
        <v>534</v>
      </c>
      <c r="D211" s="62" t="s">
        <v>653</v>
      </c>
      <c r="E211" s="48" t="s">
        <v>32</v>
      </c>
      <c r="F211" s="51"/>
      <c r="G211" s="55">
        <f>G212</f>
        <v>0</v>
      </c>
      <c r="H211" s="140"/>
    </row>
    <row r="212" spans="1:8" ht="38.25" hidden="1">
      <c r="A212" s="50" t="s">
        <v>94</v>
      </c>
      <c r="B212" s="5"/>
      <c r="C212" s="62" t="s">
        <v>534</v>
      </c>
      <c r="D212" s="62" t="s">
        <v>653</v>
      </c>
      <c r="E212" s="60" t="s">
        <v>328</v>
      </c>
      <c r="F212" s="51"/>
      <c r="G212" s="55">
        <f>G213</f>
        <v>0</v>
      </c>
      <c r="H212" s="140"/>
    </row>
    <row r="213" spans="1:8" ht="25.5" hidden="1">
      <c r="A213" s="449" t="s">
        <v>329</v>
      </c>
      <c r="B213" s="5"/>
      <c r="C213" s="62" t="s">
        <v>534</v>
      </c>
      <c r="D213" s="62" t="s">
        <v>653</v>
      </c>
      <c r="E213" s="48" t="s">
        <v>330</v>
      </c>
      <c r="F213" s="51"/>
      <c r="G213" s="55">
        <f>G214</f>
        <v>0</v>
      </c>
      <c r="H213" s="140"/>
    </row>
    <row r="214" spans="1:8" ht="25.5" hidden="1">
      <c r="A214" s="58" t="s">
        <v>228</v>
      </c>
      <c r="B214" s="193"/>
      <c r="C214" s="97" t="s">
        <v>534</v>
      </c>
      <c r="D214" s="97" t="s">
        <v>653</v>
      </c>
      <c r="E214" s="61" t="s">
        <v>330</v>
      </c>
      <c r="F214" s="59">
        <v>200</v>
      </c>
      <c r="G214" s="92"/>
      <c r="H214" s="140"/>
    </row>
    <row r="215" spans="1:8" ht="12.75">
      <c r="A215" s="174" t="s">
        <v>561</v>
      </c>
      <c r="B215" s="174"/>
      <c r="C215" s="172" t="s">
        <v>654</v>
      </c>
      <c r="D215" s="216" t="s">
        <v>462</v>
      </c>
      <c r="E215" s="172" t="s">
        <v>87</v>
      </c>
      <c r="F215" s="172" t="s">
        <v>87</v>
      </c>
      <c r="G215" s="171">
        <f>G216+G229+G272+G284+G299</f>
        <v>435121424.11</v>
      </c>
      <c r="H215" s="140"/>
    </row>
    <row r="216" spans="1:8" ht="12.75">
      <c r="A216" s="214" t="s">
        <v>562</v>
      </c>
      <c r="B216" s="214"/>
      <c r="C216" s="213" t="s">
        <v>654</v>
      </c>
      <c r="D216" s="213" t="s">
        <v>530</v>
      </c>
      <c r="E216" s="213" t="s">
        <v>87</v>
      </c>
      <c r="F216" s="213" t="s">
        <v>87</v>
      </c>
      <c r="G216" s="197">
        <f>G217</f>
        <v>100789702.11</v>
      </c>
      <c r="H216" s="140"/>
    </row>
    <row r="217" spans="1:8" ht="38.25">
      <c r="A217" s="211" t="s">
        <v>277</v>
      </c>
      <c r="B217" s="211"/>
      <c r="C217" s="195" t="s">
        <v>654</v>
      </c>
      <c r="D217" s="195" t="s">
        <v>530</v>
      </c>
      <c r="E217" s="196" t="s">
        <v>557</v>
      </c>
      <c r="F217" s="195" t="s">
        <v>87</v>
      </c>
      <c r="G217" s="197">
        <f>G218</f>
        <v>100789702.11</v>
      </c>
      <c r="H217" s="140"/>
    </row>
    <row r="218" spans="1:8" ht="51">
      <c r="A218" s="4" t="s">
        <v>278</v>
      </c>
      <c r="B218" s="4"/>
      <c r="C218" s="195" t="s">
        <v>654</v>
      </c>
      <c r="D218" s="195" t="s">
        <v>530</v>
      </c>
      <c r="E218" s="199" t="s">
        <v>558</v>
      </c>
      <c r="F218" s="198" t="s">
        <v>87</v>
      </c>
      <c r="G218" s="197">
        <f>G219</f>
        <v>100789702.11</v>
      </c>
      <c r="H218" s="140"/>
    </row>
    <row r="219" spans="1:8" ht="25.5">
      <c r="A219" s="441" t="s">
        <v>456</v>
      </c>
      <c r="B219" s="441"/>
      <c r="C219" s="195" t="s">
        <v>654</v>
      </c>
      <c r="D219" s="195" t="s">
        <v>530</v>
      </c>
      <c r="E219" s="196" t="s">
        <v>559</v>
      </c>
      <c r="F219" s="198"/>
      <c r="G219" s="197">
        <f>G220+G223+G227</f>
        <v>100789702.11</v>
      </c>
      <c r="H219" s="140"/>
    </row>
    <row r="220" spans="1:8" ht="90" customHeight="1">
      <c r="A220" s="5" t="s">
        <v>298</v>
      </c>
      <c r="B220" s="5"/>
      <c r="C220" s="195" t="s">
        <v>654</v>
      </c>
      <c r="D220" s="195" t="s">
        <v>530</v>
      </c>
      <c r="E220" s="196" t="s">
        <v>299</v>
      </c>
      <c r="F220" s="195" t="s">
        <v>87</v>
      </c>
      <c r="G220" s="197">
        <f>SUM(G221:G222)</f>
        <v>55488082</v>
      </c>
      <c r="H220" s="140"/>
    </row>
    <row r="221" spans="1:8" ht="63.75">
      <c r="A221" s="5" t="s">
        <v>735</v>
      </c>
      <c r="B221" s="5"/>
      <c r="C221" s="195" t="s">
        <v>654</v>
      </c>
      <c r="D221" s="195" t="s">
        <v>530</v>
      </c>
      <c r="E221" s="196" t="s">
        <v>299</v>
      </c>
      <c r="F221" s="195" t="s">
        <v>592</v>
      </c>
      <c r="G221" s="194">
        <v>55063202</v>
      </c>
      <c r="H221" s="140"/>
    </row>
    <row r="222" spans="1:8" ht="25.5">
      <c r="A222" s="5" t="s">
        <v>228</v>
      </c>
      <c r="B222" s="5"/>
      <c r="C222" s="195" t="s">
        <v>654</v>
      </c>
      <c r="D222" s="195" t="s">
        <v>530</v>
      </c>
      <c r="E222" s="196" t="s">
        <v>299</v>
      </c>
      <c r="F222" s="195" t="s">
        <v>74</v>
      </c>
      <c r="G222" s="194">
        <v>424880</v>
      </c>
      <c r="H222" s="140"/>
    </row>
    <row r="223" spans="1:8" ht="25.5">
      <c r="A223" s="198" t="s">
        <v>494</v>
      </c>
      <c r="B223" s="198"/>
      <c r="C223" s="195" t="s">
        <v>654</v>
      </c>
      <c r="D223" s="195" t="s">
        <v>530</v>
      </c>
      <c r="E223" s="196" t="s">
        <v>300</v>
      </c>
      <c r="F223" s="195"/>
      <c r="G223" s="197">
        <f>SUM(G224:G226)</f>
        <v>45301620.11</v>
      </c>
      <c r="H223" s="140"/>
    </row>
    <row r="224" spans="1:8" ht="63.75">
      <c r="A224" s="5" t="s">
        <v>735</v>
      </c>
      <c r="B224" s="5"/>
      <c r="C224" s="195" t="s">
        <v>654</v>
      </c>
      <c r="D224" s="195" t="s">
        <v>530</v>
      </c>
      <c r="E224" s="196" t="s">
        <v>300</v>
      </c>
      <c r="F224" s="195">
        <v>100</v>
      </c>
      <c r="G224" s="194">
        <v>18469977</v>
      </c>
      <c r="H224" s="140"/>
    </row>
    <row r="225" spans="1:8" ht="25.5">
      <c r="A225" s="5" t="s">
        <v>228</v>
      </c>
      <c r="B225" s="5"/>
      <c r="C225" s="195" t="s">
        <v>654</v>
      </c>
      <c r="D225" s="195" t="s">
        <v>530</v>
      </c>
      <c r="E225" s="196" t="s">
        <v>300</v>
      </c>
      <c r="F225" s="195">
        <v>200</v>
      </c>
      <c r="G225" s="194">
        <v>24551812.11</v>
      </c>
      <c r="H225" s="140"/>
    </row>
    <row r="226" spans="1:8" ht="12.75">
      <c r="A226" s="5" t="s">
        <v>77</v>
      </c>
      <c r="B226" s="5"/>
      <c r="C226" s="195" t="s">
        <v>654</v>
      </c>
      <c r="D226" s="195" t="s">
        <v>530</v>
      </c>
      <c r="E226" s="196" t="s">
        <v>300</v>
      </c>
      <c r="F226" s="195">
        <v>800</v>
      </c>
      <c r="G226" s="194">
        <v>2279831</v>
      </c>
      <c r="H226" s="140"/>
    </row>
    <row r="227" spans="1:8" ht="38.25" hidden="1">
      <c r="A227" s="451" t="s">
        <v>149</v>
      </c>
      <c r="B227" s="5"/>
      <c r="C227" s="164" t="s">
        <v>654</v>
      </c>
      <c r="D227" s="164" t="s">
        <v>530</v>
      </c>
      <c r="E227" s="165" t="s">
        <v>150</v>
      </c>
      <c r="F227" s="164"/>
      <c r="G227" s="194">
        <f>G228</f>
        <v>0</v>
      </c>
      <c r="H227" s="140"/>
    </row>
    <row r="228" spans="1:8" ht="25.5" hidden="1">
      <c r="A228" s="452" t="s">
        <v>151</v>
      </c>
      <c r="B228" s="5"/>
      <c r="C228" s="164" t="s">
        <v>654</v>
      </c>
      <c r="D228" s="164" t="s">
        <v>530</v>
      </c>
      <c r="E228" s="165" t="s">
        <v>150</v>
      </c>
      <c r="F228" s="164">
        <v>200</v>
      </c>
      <c r="G228" s="194"/>
      <c r="H228" s="140"/>
    </row>
    <row r="229" spans="1:8" ht="12.75">
      <c r="A229" s="214" t="s">
        <v>563</v>
      </c>
      <c r="B229" s="214"/>
      <c r="C229" s="213" t="s">
        <v>654</v>
      </c>
      <c r="D229" s="213" t="s">
        <v>532</v>
      </c>
      <c r="E229" s="213" t="s">
        <v>87</v>
      </c>
      <c r="F229" s="213" t="s">
        <v>87</v>
      </c>
      <c r="G229" s="197">
        <f>G230</f>
        <v>304509674</v>
      </c>
      <c r="H229" s="140"/>
    </row>
    <row r="230" spans="1:8" ht="38.25">
      <c r="A230" s="211" t="s">
        <v>279</v>
      </c>
      <c r="B230" s="211"/>
      <c r="C230" s="195" t="s">
        <v>654</v>
      </c>
      <c r="D230" s="195" t="s">
        <v>532</v>
      </c>
      <c r="E230" s="196" t="s">
        <v>557</v>
      </c>
      <c r="F230" s="195" t="s">
        <v>87</v>
      </c>
      <c r="G230" s="197">
        <f>G231+G268</f>
        <v>304509674</v>
      </c>
      <c r="H230" s="140"/>
    </row>
    <row r="231" spans="1:8" ht="51">
      <c r="A231" s="4" t="s">
        <v>278</v>
      </c>
      <c r="B231" s="4"/>
      <c r="C231" s="195" t="s">
        <v>654</v>
      </c>
      <c r="D231" s="195" t="s">
        <v>532</v>
      </c>
      <c r="E231" s="196" t="s">
        <v>558</v>
      </c>
      <c r="F231" s="198" t="s">
        <v>87</v>
      </c>
      <c r="G231" s="197">
        <f>G232+G239+G265+G237+G250</f>
        <v>304509674</v>
      </c>
      <c r="H231" s="140"/>
    </row>
    <row r="232" spans="1:8" ht="25.5">
      <c r="A232" s="441" t="s">
        <v>458</v>
      </c>
      <c r="B232" s="441"/>
      <c r="C232" s="195" t="s">
        <v>654</v>
      </c>
      <c r="D232" s="195" t="s">
        <v>532</v>
      </c>
      <c r="E232" s="196" t="s">
        <v>301</v>
      </c>
      <c r="F232" s="198"/>
      <c r="G232" s="197">
        <f>G233+G235</f>
        <v>118281074</v>
      </c>
      <c r="H232" s="140"/>
    </row>
    <row r="233" spans="1:8" ht="102">
      <c r="A233" s="5" t="s">
        <v>681</v>
      </c>
      <c r="B233" s="5"/>
      <c r="C233" s="195" t="s">
        <v>654</v>
      </c>
      <c r="D233" s="195" t="s">
        <v>532</v>
      </c>
      <c r="E233" s="196" t="s">
        <v>302</v>
      </c>
      <c r="F233" s="195" t="s">
        <v>87</v>
      </c>
      <c r="G233" s="197">
        <f>G234</f>
        <v>96274514</v>
      </c>
      <c r="H233" s="140"/>
    </row>
    <row r="234" spans="1:8" ht="31.5" customHeight="1">
      <c r="A234" s="5" t="s">
        <v>90</v>
      </c>
      <c r="B234" s="5"/>
      <c r="C234" s="195" t="s">
        <v>654</v>
      </c>
      <c r="D234" s="195" t="s">
        <v>532</v>
      </c>
      <c r="E234" s="196" t="s">
        <v>302</v>
      </c>
      <c r="F234" s="195">
        <v>600</v>
      </c>
      <c r="G234" s="194">
        <v>96274514</v>
      </c>
      <c r="H234" s="140"/>
    </row>
    <row r="235" spans="1:8" ht="25.5">
      <c r="A235" s="198" t="s">
        <v>494</v>
      </c>
      <c r="B235" s="198"/>
      <c r="C235" s="195" t="s">
        <v>654</v>
      </c>
      <c r="D235" s="195" t="s">
        <v>532</v>
      </c>
      <c r="E235" s="196" t="s">
        <v>303</v>
      </c>
      <c r="F235" s="195"/>
      <c r="G235" s="197">
        <f>G236</f>
        <v>22006560</v>
      </c>
      <c r="H235" s="140"/>
    </row>
    <row r="236" spans="1:8" ht="30" customHeight="1">
      <c r="A236" s="5" t="s">
        <v>90</v>
      </c>
      <c r="B236" s="5"/>
      <c r="C236" s="195" t="s">
        <v>654</v>
      </c>
      <c r="D236" s="195" t="s">
        <v>532</v>
      </c>
      <c r="E236" s="196" t="s">
        <v>303</v>
      </c>
      <c r="F236" s="195">
        <v>600</v>
      </c>
      <c r="G236" s="194">
        <v>22006560</v>
      </c>
      <c r="H236" s="140"/>
    </row>
    <row r="237" spans="1:8" ht="38.25">
      <c r="A237" s="5" t="s">
        <v>509</v>
      </c>
      <c r="B237" s="443"/>
      <c r="C237" s="195" t="s">
        <v>654</v>
      </c>
      <c r="D237" s="195" t="s">
        <v>532</v>
      </c>
      <c r="E237" s="196" t="s">
        <v>957</v>
      </c>
      <c r="F237" s="195"/>
      <c r="G237" s="194">
        <f>G238</f>
        <v>6473312</v>
      </c>
      <c r="H237" s="140"/>
    </row>
    <row r="238" spans="1:8" ht="28.5" customHeight="1">
      <c r="A238" s="5" t="s">
        <v>90</v>
      </c>
      <c r="B238" s="443"/>
      <c r="C238" s="195" t="s">
        <v>654</v>
      </c>
      <c r="D238" s="195" t="s">
        <v>532</v>
      </c>
      <c r="E238" s="196" t="s">
        <v>957</v>
      </c>
      <c r="F238" s="195">
        <v>600</v>
      </c>
      <c r="G238" s="194">
        <v>6473312</v>
      </c>
      <c r="H238" s="140"/>
    </row>
    <row r="239" spans="1:8" ht="25.5">
      <c r="A239" s="449" t="s">
        <v>459</v>
      </c>
      <c r="B239" s="449"/>
      <c r="C239" s="195" t="s">
        <v>654</v>
      </c>
      <c r="D239" s="195" t="s">
        <v>532</v>
      </c>
      <c r="E239" s="196" t="s">
        <v>304</v>
      </c>
      <c r="F239" s="195"/>
      <c r="G239" s="194">
        <f>G240+G244+G246+G248+G263+G258+G260+G242</f>
        <v>20682818</v>
      </c>
      <c r="H239" s="140"/>
    </row>
    <row r="240" spans="1:8" ht="51">
      <c r="A240" s="449" t="s">
        <v>396</v>
      </c>
      <c r="B240" s="449"/>
      <c r="C240" s="195" t="s">
        <v>654</v>
      </c>
      <c r="D240" s="195" t="s">
        <v>532</v>
      </c>
      <c r="E240" s="196" t="s">
        <v>397</v>
      </c>
      <c r="F240" s="195"/>
      <c r="G240" s="194">
        <f>G241</f>
        <v>6304413</v>
      </c>
      <c r="H240" s="140"/>
    </row>
    <row r="241" spans="1:8" ht="30.75" customHeight="1">
      <c r="A241" s="5" t="s">
        <v>90</v>
      </c>
      <c r="B241" s="449"/>
      <c r="C241" s="195" t="s">
        <v>654</v>
      </c>
      <c r="D241" s="195" t="s">
        <v>532</v>
      </c>
      <c r="E241" s="196" t="s">
        <v>397</v>
      </c>
      <c r="F241" s="195">
        <v>600</v>
      </c>
      <c r="G241" s="194">
        <v>6304413</v>
      </c>
      <c r="H241" s="140"/>
    </row>
    <row r="242" spans="1:8" ht="25.5" hidden="1">
      <c r="A242" s="49" t="s">
        <v>719</v>
      </c>
      <c r="B242" s="449"/>
      <c r="C242" s="147" t="s">
        <v>654</v>
      </c>
      <c r="D242" s="147" t="s">
        <v>532</v>
      </c>
      <c r="E242" s="148" t="s">
        <v>720</v>
      </c>
      <c r="F242" s="147"/>
      <c r="G242" s="146">
        <f>G243</f>
        <v>0</v>
      </c>
      <c r="H242" s="140"/>
    </row>
    <row r="243" spans="1:8" ht="27.75" customHeight="1" hidden="1">
      <c r="A243" s="159" t="s">
        <v>90</v>
      </c>
      <c r="B243" s="449"/>
      <c r="C243" s="147" t="s">
        <v>654</v>
      </c>
      <c r="D243" s="147" t="s">
        <v>532</v>
      </c>
      <c r="E243" s="148" t="s">
        <v>720</v>
      </c>
      <c r="F243" s="147">
        <v>600</v>
      </c>
      <c r="G243" s="158"/>
      <c r="H243" s="140"/>
    </row>
    <row r="244" spans="1:8" ht="63.75">
      <c r="A244" s="453" t="s">
        <v>746</v>
      </c>
      <c r="B244" s="453"/>
      <c r="C244" s="195" t="s">
        <v>654</v>
      </c>
      <c r="D244" s="195" t="s">
        <v>532</v>
      </c>
      <c r="E244" s="196" t="s">
        <v>747</v>
      </c>
      <c r="F244" s="195"/>
      <c r="G244" s="197">
        <f>G245</f>
        <v>318065</v>
      </c>
      <c r="H244" s="140"/>
    </row>
    <row r="245" spans="1:8" ht="30.75" customHeight="1">
      <c r="A245" s="443" t="s">
        <v>90</v>
      </c>
      <c r="B245" s="443"/>
      <c r="C245" s="195" t="s">
        <v>654</v>
      </c>
      <c r="D245" s="195" t="s">
        <v>532</v>
      </c>
      <c r="E245" s="196" t="s">
        <v>747</v>
      </c>
      <c r="F245" s="195">
        <v>600</v>
      </c>
      <c r="G245" s="194">
        <v>318065</v>
      </c>
      <c r="H245" s="140"/>
    </row>
    <row r="246" spans="1:8" ht="63.75">
      <c r="A246" s="454" t="s">
        <v>295</v>
      </c>
      <c r="B246" s="454"/>
      <c r="C246" s="195" t="s">
        <v>654</v>
      </c>
      <c r="D246" s="195" t="s">
        <v>532</v>
      </c>
      <c r="E246" s="196" t="s">
        <v>305</v>
      </c>
      <c r="F246" s="195"/>
      <c r="G246" s="197">
        <f>G247</f>
        <v>2127215</v>
      </c>
      <c r="H246" s="140"/>
    </row>
    <row r="247" spans="1:8" ht="34.5" customHeight="1">
      <c r="A247" s="443" t="s">
        <v>90</v>
      </c>
      <c r="B247" s="443"/>
      <c r="C247" s="195" t="s">
        <v>654</v>
      </c>
      <c r="D247" s="195" t="s">
        <v>532</v>
      </c>
      <c r="E247" s="196" t="s">
        <v>305</v>
      </c>
      <c r="F247" s="195">
        <v>600</v>
      </c>
      <c r="G247" s="194">
        <v>2127215</v>
      </c>
      <c r="H247" s="140"/>
    </row>
    <row r="248" spans="1:8" ht="25.5">
      <c r="A248" s="198" t="s">
        <v>494</v>
      </c>
      <c r="B248" s="443"/>
      <c r="C248" s="195" t="s">
        <v>654</v>
      </c>
      <c r="D248" s="195" t="s">
        <v>532</v>
      </c>
      <c r="E248" s="196" t="s">
        <v>395</v>
      </c>
      <c r="F248" s="195"/>
      <c r="G248" s="194">
        <f>G249</f>
        <v>4636171</v>
      </c>
      <c r="H248" s="140"/>
    </row>
    <row r="249" spans="1:8" ht="25.5" customHeight="1">
      <c r="A249" s="443" t="s">
        <v>90</v>
      </c>
      <c r="B249" s="443"/>
      <c r="C249" s="195" t="s">
        <v>654</v>
      </c>
      <c r="D249" s="195" t="s">
        <v>532</v>
      </c>
      <c r="E249" s="196" t="s">
        <v>395</v>
      </c>
      <c r="F249" s="195">
        <v>600</v>
      </c>
      <c r="G249" s="194">
        <v>4636171</v>
      </c>
      <c r="H249" s="140"/>
    </row>
    <row r="250" spans="1:8" ht="90.75" customHeight="1">
      <c r="A250" s="7" t="s">
        <v>958</v>
      </c>
      <c r="B250" s="443"/>
      <c r="C250" s="147" t="s">
        <v>654</v>
      </c>
      <c r="D250" s="147" t="s">
        <v>532</v>
      </c>
      <c r="E250" s="148" t="s">
        <v>959</v>
      </c>
      <c r="F250" s="147"/>
      <c r="G250" s="158">
        <f>G251+G255+G253</f>
        <v>159072470</v>
      </c>
      <c r="H250" s="140"/>
    </row>
    <row r="251" spans="1:8" ht="63.75">
      <c r="A251" s="390" t="s">
        <v>1012</v>
      </c>
      <c r="B251" s="443"/>
      <c r="C251" s="147" t="s">
        <v>654</v>
      </c>
      <c r="D251" s="147" t="s">
        <v>532</v>
      </c>
      <c r="E251" s="148" t="s">
        <v>1013</v>
      </c>
      <c r="F251" s="147"/>
      <c r="G251" s="158">
        <f>G252</f>
        <v>153886322</v>
      </c>
      <c r="H251" s="140"/>
    </row>
    <row r="252" spans="1:8" ht="30.75" customHeight="1">
      <c r="A252" s="159" t="s">
        <v>90</v>
      </c>
      <c r="B252" s="443"/>
      <c r="C252" s="147" t="s">
        <v>654</v>
      </c>
      <c r="D252" s="147" t="s">
        <v>532</v>
      </c>
      <c r="E252" s="148" t="s">
        <v>1013</v>
      </c>
      <c r="F252" s="147" t="s">
        <v>79</v>
      </c>
      <c r="G252" s="158">
        <f>3072377+150813945</f>
        <v>153886322</v>
      </c>
      <c r="H252" s="140"/>
    </row>
    <row r="253" spans="1:8" ht="38.25">
      <c r="A253" s="159" t="s">
        <v>989</v>
      </c>
      <c r="B253" s="443"/>
      <c r="C253" s="147" t="s">
        <v>654</v>
      </c>
      <c r="D253" s="147" t="s">
        <v>532</v>
      </c>
      <c r="E253" s="148" t="s">
        <v>990</v>
      </c>
      <c r="F253" s="147"/>
      <c r="G253" s="158">
        <f>G254</f>
        <v>5082425</v>
      </c>
      <c r="H253" s="140"/>
    </row>
    <row r="254" spans="1:8" ht="30" customHeight="1">
      <c r="A254" s="159" t="s">
        <v>90</v>
      </c>
      <c r="B254" s="443"/>
      <c r="C254" s="147" t="s">
        <v>654</v>
      </c>
      <c r="D254" s="147" t="s">
        <v>532</v>
      </c>
      <c r="E254" s="148" t="s">
        <v>990</v>
      </c>
      <c r="F254" s="147">
        <v>600</v>
      </c>
      <c r="G254" s="158">
        <v>5082425</v>
      </c>
      <c r="H254" s="140"/>
    </row>
    <row r="255" spans="1:8" ht="38.25">
      <c r="A255" s="406" t="s">
        <v>960</v>
      </c>
      <c r="B255" s="443"/>
      <c r="C255" s="147" t="s">
        <v>654</v>
      </c>
      <c r="D255" s="147" t="s">
        <v>532</v>
      </c>
      <c r="E255" s="148" t="s">
        <v>961</v>
      </c>
      <c r="F255" s="147"/>
      <c r="G255" s="158">
        <f>G256</f>
        <v>103723</v>
      </c>
      <c r="H255" s="140"/>
    </row>
    <row r="256" spans="1:8" ht="28.5" customHeight="1">
      <c r="A256" s="159" t="s">
        <v>90</v>
      </c>
      <c r="B256" s="443"/>
      <c r="C256" s="147" t="s">
        <v>654</v>
      </c>
      <c r="D256" s="147" t="s">
        <v>532</v>
      </c>
      <c r="E256" s="148" t="s">
        <v>961</v>
      </c>
      <c r="F256" s="147" t="s">
        <v>79</v>
      </c>
      <c r="G256" s="158">
        <v>103723</v>
      </c>
      <c r="H256" s="140"/>
    </row>
    <row r="257" spans="1:8" ht="12.75">
      <c r="A257" s="389" t="s">
        <v>750</v>
      </c>
      <c r="B257" s="443"/>
      <c r="C257" s="164" t="s">
        <v>654</v>
      </c>
      <c r="D257" s="164" t="s">
        <v>532</v>
      </c>
      <c r="E257" s="165" t="s">
        <v>331</v>
      </c>
      <c r="F257" s="164"/>
      <c r="G257" s="158">
        <f>G258</f>
        <v>3423556</v>
      </c>
      <c r="H257" s="140"/>
    </row>
    <row r="258" spans="1:8" ht="63.75">
      <c r="A258" s="389" t="s">
        <v>942</v>
      </c>
      <c r="B258" s="443"/>
      <c r="C258" s="164" t="s">
        <v>654</v>
      </c>
      <c r="D258" s="164" t="s">
        <v>532</v>
      </c>
      <c r="E258" s="165" t="s">
        <v>332</v>
      </c>
      <c r="F258" s="164"/>
      <c r="G258" s="158">
        <f>G259</f>
        <v>3423556</v>
      </c>
      <c r="H258" s="140"/>
    </row>
    <row r="259" spans="1:8" ht="38.25">
      <c r="A259" s="303" t="s">
        <v>90</v>
      </c>
      <c r="B259" s="443"/>
      <c r="C259" s="164" t="s">
        <v>654</v>
      </c>
      <c r="D259" s="164" t="s">
        <v>532</v>
      </c>
      <c r="E259" s="165" t="s">
        <v>332</v>
      </c>
      <c r="F259" s="164">
        <v>600</v>
      </c>
      <c r="G259" s="158">
        <f>68470+3355086</f>
        <v>3423556</v>
      </c>
      <c r="H259" s="140"/>
    </row>
    <row r="260" spans="1:8" ht="25.5">
      <c r="A260" s="389" t="s">
        <v>108</v>
      </c>
      <c r="B260" s="443"/>
      <c r="C260" s="164" t="s">
        <v>654</v>
      </c>
      <c r="D260" s="164" t="s">
        <v>532</v>
      </c>
      <c r="E260" s="165" t="s">
        <v>62</v>
      </c>
      <c r="F260" s="164"/>
      <c r="G260" s="158">
        <f>G261</f>
        <v>3873398</v>
      </c>
      <c r="H260" s="140"/>
    </row>
    <row r="261" spans="1:8" ht="38.25">
      <c r="A261" s="389" t="s">
        <v>153</v>
      </c>
      <c r="B261" s="443"/>
      <c r="C261" s="164" t="s">
        <v>654</v>
      </c>
      <c r="D261" s="164" t="s">
        <v>532</v>
      </c>
      <c r="E261" s="165" t="s">
        <v>63</v>
      </c>
      <c r="F261" s="164"/>
      <c r="G261" s="158">
        <f>G262</f>
        <v>3873398</v>
      </c>
      <c r="H261" s="140"/>
    </row>
    <row r="262" spans="1:8" ht="33.75" customHeight="1">
      <c r="A262" s="303" t="s">
        <v>90</v>
      </c>
      <c r="B262" s="443"/>
      <c r="C262" s="164" t="s">
        <v>654</v>
      </c>
      <c r="D262" s="164" t="s">
        <v>532</v>
      </c>
      <c r="E262" s="165" t="s">
        <v>63</v>
      </c>
      <c r="F262" s="164">
        <v>600</v>
      </c>
      <c r="G262" s="158">
        <f>77468+3795930</f>
        <v>3873398</v>
      </c>
      <c r="H262" s="140"/>
    </row>
    <row r="263" spans="1:8" ht="37.5" customHeight="1" hidden="1">
      <c r="A263" s="5"/>
      <c r="B263" s="443"/>
      <c r="C263" s="195"/>
      <c r="D263" s="195"/>
      <c r="E263" s="196"/>
      <c r="F263" s="195"/>
      <c r="G263" s="194">
        <f>G264</f>
        <v>0</v>
      </c>
      <c r="H263" s="140"/>
    </row>
    <row r="264" spans="1:8" ht="30" customHeight="1" hidden="1">
      <c r="A264" s="5"/>
      <c r="B264" s="443"/>
      <c r="C264" s="195"/>
      <c r="D264" s="195"/>
      <c r="E264" s="196"/>
      <c r="F264" s="195"/>
      <c r="G264" s="194"/>
      <c r="H264" s="140"/>
    </row>
    <row r="265" spans="1:8" ht="30" customHeight="1" hidden="1">
      <c r="A265" s="455" t="s">
        <v>108</v>
      </c>
      <c r="B265" s="443"/>
      <c r="C265" s="147" t="s">
        <v>654</v>
      </c>
      <c r="D265" s="147" t="s">
        <v>532</v>
      </c>
      <c r="E265" s="148" t="s">
        <v>62</v>
      </c>
      <c r="F265" s="147"/>
      <c r="G265" s="194">
        <f>G266</f>
        <v>0</v>
      </c>
      <c r="H265" s="140"/>
    </row>
    <row r="266" spans="1:8" ht="30" customHeight="1" hidden="1">
      <c r="A266" s="455" t="s">
        <v>494</v>
      </c>
      <c r="B266" s="443"/>
      <c r="C266" s="147" t="s">
        <v>654</v>
      </c>
      <c r="D266" s="147" t="s">
        <v>532</v>
      </c>
      <c r="E266" s="148" t="s">
        <v>875</v>
      </c>
      <c r="F266" s="147"/>
      <c r="G266" s="194">
        <f>G267</f>
        <v>0</v>
      </c>
      <c r="H266" s="140"/>
    </row>
    <row r="267" spans="1:8" ht="30" customHeight="1" hidden="1">
      <c r="A267" s="456" t="s">
        <v>90</v>
      </c>
      <c r="B267" s="443"/>
      <c r="C267" s="147" t="s">
        <v>654</v>
      </c>
      <c r="D267" s="147" t="s">
        <v>532</v>
      </c>
      <c r="E267" s="148" t="s">
        <v>875</v>
      </c>
      <c r="F267" s="147">
        <v>600</v>
      </c>
      <c r="G267" s="194"/>
      <c r="H267" s="140"/>
    </row>
    <row r="268" spans="1:8" ht="76.5" hidden="1">
      <c r="A268" s="84" t="s">
        <v>465</v>
      </c>
      <c r="B268" s="443"/>
      <c r="C268" s="147" t="s">
        <v>654</v>
      </c>
      <c r="D268" s="147" t="s">
        <v>532</v>
      </c>
      <c r="E268" s="148" t="s">
        <v>466</v>
      </c>
      <c r="F268" s="147"/>
      <c r="G268" s="158">
        <f>G269</f>
        <v>0</v>
      </c>
      <c r="H268" s="140"/>
    </row>
    <row r="269" spans="1:8" ht="30" customHeight="1" hidden="1">
      <c r="A269" s="159" t="s">
        <v>508</v>
      </c>
      <c r="B269" s="443"/>
      <c r="C269" s="147" t="s">
        <v>654</v>
      </c>
      <c r="D269" s="147" t="s">
        <v>532</v>
      </c>
      <c r="E269" s="148" t="s">
        <v>467</v>
      </c>
      <c r="F269" s="147"/>
      <c r="G269" s="158">
        <f>G270</f>
        <v>0</v>
      </c>
      <c r="H269" s="140"/>
    </row>
    <row r="270" spans="1:8" ht="30" customHeight="1" hidden="1">
      <c r="A270" s="7" t="s">
        <v>219</v>
      </c>
      <c r="B270" s="443"/>
      <c r="C270" s="147" t="s">
        <v>654</v>
      </c>
      <c r="D270" s="147" t="s">
        <v>532</v>
      </c>
      <c r="E270" s="148" t="s">
        <v>468</v>
      </c>
      <c r="F270" s="147"/>
      <c r="G270" s="158">
        <f>G271</f>
        <v>0</v>
      </c>
      <c r="H270" s="140"/>
    </row>
    <row r="271" spans="1:8" ht="30" customHeight="1" hidden="1">
      <c r="A271" s="159" t="s">
        <v>221</v>
      </c>
      <c r="B271" s="443"/>
      <c r="C271" s="147" t="s">
        <v>654</v>
      </c>
      <c r="D271" s="147" t="s">
        <v>532</v>
      </c>
      <c r="E271" s="148" t="s">
        <v>468</v>
      </c>
      <c r="F271" s="147">
        <v>600</v>
      </c>
      <c r="G271" s="158"/>
      <c r="H271" s="140"/>
    </row>
    <row r="272" spans="1:8" ht="30" customHeight="1">
      <c r="A272" s="440" t="s">
        <v>41</v>
      </c>
      <c r="B272" s="440"/>
      <c r="C272" s="195" t="s">
        <v>654</v>
      </c>
      <c r="D272" s="223" t="s">
        <v>101</v>
      </c>
      <c r="E272" s="196"/>
      <c r="F272" s="195"/>
      <c r="G272" s="197">
        <f>G273</f>
        <v>17277032</v>
      </c>
      <c r="H272" s="140"/>
    </row>
    <row r="273" spans="1:8" ht="38.25">
      <c r="A273" s="211" t="s">
        <v>277</v>
      </c>
      <c r="B273" s="211"/>
      <c r="C273" s="195" t="s">
        <v>654</v>
      </c>
      <c r="D273" s="223" t="s">
        <v>101</v>
      </c>
      <c r="E273" s="196" t="s">
        <v>557</v>
      </c>
      <c r="F273" s="195"/>
      <c r="G273" s="197">
        <f>G274</f>
        <v>17277032</v>
      </c>
      <c r="H273" s="140"/>
    </row>
    <row r="274" spans="1:8" ht="51">
      <c r="A274" s="4" t="s">
        <v>707</v>
      </c>
      <c r="B274" s="4"/>
      <c r="C274" s="195" t="s">
        <v>654</v>
      </c>
      <c r="D274" s="223" t="s">
        <v>101</v>
      </c>
      <c r="E274" s="199" t="s">
        <v>306</v>
      </c>
      <c r="F274" s="198" t="s">
        <v>87</v>
      </c>
      <c r="G274" s="197">
        <f>G275+G281+G278</f>
        <v>17277032</v>
      </c>
      <c r="H274" s="140"/>
    </row>
    <row r="275" spans="1:8" ht="38.25">
      <c r="A275" s="441" t="s">
        <v>460</v>
      </c>
      <c r="B275" s="441"/>
      <c r="C275" s="195" t="s">
        <v>654</v>
      </c>
      <c r="D275" s="223" t="s">
        <v>101</v>
      </c>
      <c r="E275" s="196" t="s">
        <v>307</v>
      </c>
      <c r="F275" s="198"/>
      <c r="G275" s="197">
        <f>G276</f>
        <v>13465532</v>
      </c>
      <c r="H275" s="140"/>
    </row>
    <row r="276" spans="1:8" ht="25.5">
      <c r="A276" s="198" t="s">
        <v>494</v>
      </c>
      <c r="B276" s="198"/>
      <c r="C276" s="195" t="s">
        <v>654</v>
      </c>
      <c r="D276" s="223" t="s">
        <v>101</v>
      </c>
      <c r="E276" s="196" t="s">
        <v>308</v>
      </c>
      <c r="F276" s="195" t="s">
        <v>87</v>
      </c>
      <c r="G276" s="197">
        <f>G277</f>
        <v>13465532</v>
      </c>
      <c r="H276" s="140"/>
    </row>
    <row r="277" spans="1:8" ht="38.25">
      <c r="A277" s="443" t="s">
        <v>90</v>
      </c>
      <c r="B277" s="5"/>
      <c r="C277" s="195" t="s">
        <v>654</v>
      </c>
      <c r="D277" s="223" t="s">
        <v>101</v>
      </c>
      <c r="E277" s="196" t="s">
        <v>308</v>
      </c>
      <c r="F277" s="195">
        <v>600</v>
      </c>
      <c r="G277" s="194">
        <v>13465532</v>
      </c>
      <c r="H277" s="140"/>
    </row>
    <row r="278" spans="1:8" ht="51">
      <c r="A278" s="159" t="s">
        <v>962</v>
      </c>
      <c r="B278" s="5"/>
      <c r="C278" s="147" t="s">
        <v>654</v>
      </c>
      <c r="D278" s="163" t="s">
        <v>101</v>
      </c>
      <c r="E278" s="148" t="s">
        <v>963</v>
      </c>
      <c r="F278" s="149"/>
      <c r="G278" s="158">
        <f>G279</f>
        <v>3811500</v>
      </c>
      <c r="H278" s="140"/>
    </row>
    <row r="279" spans="1:8" ht="25.5">
      <c r="A279" s="159" t="s">
        <v>214</v>
      </c>
      <c r="B279" s="5"/>
      <c r="C279" s="147" t="s">
        <v>654</v>
      </c>
      <c r="D279" s="163" t="s">
        <v>101</v>
      </c>
      <c r="E279" s="148" t="s">
        <v>964</v>
      </c>
      <c r="F279" s="147" t="s">
        <v>87</v>
      </c>
      <c r="G279" s="158">
        <f>G280</f>
        <v>3811500</v>
      </c>
      <c r="H279" s="140"/>
    </row>
    <row r="280" spans="1:8" ht="38.25">
      <c r="A280" s="159" t="s">
        <v>90</v>
      </c>
      <c r="B280" s="5"/>
      <c r="C280" s="147" t="s">
        <v>654</v>
      </c>
      <c r="D280" s="163" t="s">
        <v>101</v>
      </c>
      <c r="E280" s="148" t="s">
        <v>964</v>
      </c>
      <c r="F280" s="147">
        <v>600</v>
      </c>
      <c r="G280" s="158">
        <v>3811500</v>
      </c>
      <c r="H280" s="140"/>
    </row>
    <row r="281" spans="1:8" ht="12.75" hidden="1">
      <c r="A281" s="448" t="s">
        <v>107</v>
      </c>
      <c r="B281" s="448"/>
      <c r="C281" s="195" t="s">
        <v>654</v>
      </c>
      <c r="D281" s="223" t="s">
        <v>101</v>
      </c>
      <c r="E281" s="196" t="s">
        <v>703</v>
      </c>
      <c r="F281" s="195"/>
      <c r="G281" s="197">
        <f>G282</f>
        <v>0</v>
      </c>
      <c r="H281" s="140"/>
    </row>
    <row r="282" spans="1:8" ht="51" hidden="1">
      <c r="A282" s="448" t="s">
        <v>766</v>
      </c>
      <c r="B282" s="448"/>
      <c r="C282" s="195" t="s">
        <v>654</v>
      </c>
      <c r="D282" s="223" t="s">
        <v>101</v>
      </c>
      <c r="E282" s="196" t="s">
        <v>704</v>
      </c>
      <c r="F282" s="195"/>
      <c r="G282" s="197">
        <f>G283</f>
        <v>0</v>
      </c>
      <c r="H282" s="140"/>
    </row>
    <row r="283" spans="1:8" ht="38.25" hidden="1">
      <c r="A283" s="443" t="s">
        <v>90</v>
      </c>
      <c r="B283" s="5"/>
      <c r="C283" s="195" t="s">
        <v>654</v>
      </c>
      <c r="D283" s="223" t="s">
        <v>101</v>
      </c>
      <c r="E283" s="196" t="s">
        <v>704</v>
      </c>
      <c r="F283" s="195">
        <v>600</v>
      </c>
      <c r="G283" s="194"/>
      <c r="H283" s="140"/>
    </row>
    <row r="284" spans="1:8" ht="12.75">
      <c r="A284" s="214" t="s">
        <v>42</v>
      </c>
      <c r="B284" s="214"/>
      <c r="C284" s="213" t="s">
        <v>654</v>
      </c>
      <c r="D284" s="213" t="s">
        <v>654</v>
      </c>
      <c r="E284" s="213" t="s">
        <v>87</v>
      </c>
      <c r="F284" s="213" t="s">
        <v>87</v>
      </c>
      <c r="G284" s="197">
        <f>G285</f>
        <v>2634600</v>
      </c>
      <c r="H284" s="140"/>
    </row>
    <row r="285" spans="1:8" ht="63.75">
      <c r="A285" s="211" t="s">
        <v>438</v>
      </c>
      <c r="B285" s="211"/>
      <c r="C285" s="195" t="s">
        <v>654</v>
      </c>
      <c r="D285" s="195" t="s">
        <v>654</v>
      </c>
      <c r="E285" s="196" t="s">
        <v>437</v>
      </c>
      <c r="F285" s="195" t="s">
        <v>87</v>
      </c>
      <c r="G285" s="197">
        <f>G286</f>
        <v>2634600</v>
      </c>
      <c r="H285" s="140"/>
    </row>
    <row r="286" spans="1:8" ht="89.25">
      <c r="A286" s="4" t="s">
        <v>352</v>
      </c>
      <c r="B286" s="4"/>
      <c r="C286" s="195" t="s">
        <v>654</v>
      </c>
      <c r="D286" s="195" t="s">
        <v>654</v>
      </c>
      <c r="E286" s="199" t="s">
        <v>488</v>
      </c>
      <c r="F286" s="198" t="s">
        <v>87</v>
      </c>
      <c r="G286" s="197">
        <f>G287+G296</f>
        <v>2634600</v>
      </c>
      <c r="H286" s="140"/>
    </row>
    <row r="287" spans="1:8" ht="25.5">
      <c r="A287" s="439" t="s">
        <v>487</v>
      </c>
      <c r="B287" s="439"/>
      <c r="C287" s="195" t="s">
        <v>654</v>
      </c>
      <c r="D287" s="195" t="s">
        <v>654</v>
      </c>
      <c r="E287" s="196" t="s">
        <v>486</v>
      </c>
      <c r="F287" s="198"/>
      <c r="G287" s="197">
        <f>G290+G293+G288</f>
        <v>2554600</v>
      </c>
      <c r="H287" s="140"/>
    </row>
    <row r="288" spans="1:8" ht="12.75">
      <c r="A288" s="441" t="s">
        <v>485</v>
      </c>
      <c r="B288" s="439"/>
      <c r="C288" s="147" t="s">
        <v>654</v>
      </c>
      <c r="D288" s="147" t="s">
        <v>654</v>
      </c>
      <c r="E288" s="148" t="s">
        <v>484</v>
      </c>
      <c r="F288" s="149"/>
      <c r="G288" s="197">
        <f>G289</f>
        <v>7000</v>
      </c>
      <c r="H288" s="140"/>
    </row>
    <row r="289" spans="1:8" ht="38.25">
      <c r="A289" s="159" t="s">
        <v>90</v>
      </c>
      <c r="B289" s="439"/>
      <c r="C289" s="147" t="s">
        <v>654</v>
      </c>
      <c r="D289" s="147" t="s">
        <v>654</v>
      </c>
      <c r="E289" s="148" t="s">
        <v>484</v>
      </c>
      <c r="F289" s="149">
        <v>600</v>
      </c>
      <c r="G289" s="197">
        <v>7000</v>
      </c>
      <c r="H289" s="140"/>
    </row>
    <row r="290" spans="1:8" ht="12.75">
      <c r="A290" s="49" t="s">
        <v>634</v>
      </c>
      <c r="B290" s="49"/>
      <c r="C290" s="195" t="s">
        <v>654</v>
      </c>
      <c r="D290" s="195" t="s">
        <v>654</v>
      </c>
      <c r="E290" s="196" t="s">
        <v>635</v>
      </c>
      <c r="F290" s="198"/>
      <c r="G290" s="197">
        <f>SUM(G291:G292)</f>
        <v>993564</v>
      </c>
      <c r="H290" s="140"/>
    </row>
    <row r="291" spans="1:8" ht="25.5">
      <c r="A291" s="5" t="s">
        <v>81</v>
      </c>
      <c r="B291" s="5"/>
      <c r="C291" s="195" t="s">
        <v>654</v>
      </c>
      <c r="D291" s="195" t="s">
        <v>654</v>
      </c>
      <c r="E291" s="196" t="s">
        <v>635</v>
      </c>
      <c r="F291" s="198">
        <v>300</v>
      </c>
      <c r="G291" s="194">
        <v>596232</v>
      </c>
      <c r="H291" s="140"/>
    </row>
    <row r="292" spans="1:8" ht="38.25">
      <c r="A292" s="5" t="s">
        <v>90</v>
      </c>
      <c r="B292" s="5"/>
      <c r="C292" s="195" t="s">
        <v>654</v>
      </c>
      <c r="D292" s="195" t="s">
        <v>654</v>
      </c>
      <c r="E292" s="196" t="s">
        <v>635</v>
      </c>
      <c r="F292" s="198">
        <v>600</v>
      </c>
      <c r="G292" s="194">
        <v>397332</v>
      </c>
      <c r="H292" s="140"/>
    </row>
    <row r="293" spans="1:8" ht="25.5">
      <c r="A293" s="454" t="s">
        <v>495</v>
      </c>
      <c r="B293" s="454"/>
      <c r="C293" s="195" t="s">
        <v>654</v>
      </c>
      <c r="D293" s="195" t="s">
        <v>654</v>
      </c>
      <c r="E293" s="196" t="s">
        <v>281</v>
      </c>
      <c r="F293" s="198"/>
      <c r="G293" s="197">
        <f>SUM(G294:G295)</f>
        <v>1554036</v>
      </c>
      <c r="H293" s="140"/>
    </row>
    <row r="294" spans="1:8" ht="25.5">
      <c r="A294" s="5" t="s">
        <v>81</v>
      </c>
      <c r="B294" s="5"/>
      <c r="C294" s="195" t="s">
        <v>654</v>
      </c>
      <c r="D294" s="195" t="s">
        <v>654</v>
      </c>
      <c r="E294" s="196" t="s">
        <v>281</v>
      </c>
      <c r="F294" s="198">
        <v>300</v>
      </c>
      <c r="G294" s="194">
        <v>932568</v>
      </c>
      <c r="H294" s="140"/>
    </row>
    <row r="295" spans="1:8" ht="38.25">
      <c r="A295" s="5" t="s">
        <v>90</v>
      </c>
      <c r="B295" s="5"/>
      <c r="C295" s="195" t="s">
        <v>654</v>
      </c>
      <c r="D295" s="195" t="s">
        <v>654</v>
      </c>
      <c r="E295" s="196" t="s">
        <v>281</v>
      </c>
      <c r="F295" s="198">
        <v>600</v>
      </c>
      <c r="G295" s="194">
        <v>621468</v>
      </c>
      <c r="H295" s="140"/>
    </row>
    <row r="296" spans="1:8" ht="51">
      <c r="A296" s="442" t="s">
        <v>752</v>
      </c>
      <c r="B296" s="442"/>
      <c r="C296" s="195" t="s">
        <v>654</v>
      </c>
      <c r="D296" s="195" t="s">
        <v>654</v>
      </c>
      <c r="E296" s="196" t="s">
        <v>753</v>
      </c>
      <c r="F296" s="198"/>
      <c r="G296" s="197">
        <f>G297</f>
        <v>80000</v>
      </c>
      <c r="H296" s="140"/>
    </row>
    <row r="297" spans="1:8" ht="25.5">
      <c r="A297" s="442" t="s">
        <v>755</v>
      </c>
      <c r="B297" s="442"/>
      <c r="C297" s="195" t="s">
        <v>654</v>
      </c>
      <c r="D297" s="195" t="s">
        <v>654</v>
      </c>
      <c r="E297" s="196" t="s">
        <v>754</v>
      </c>
      <c r="F297" s="198"/>
      <c r="G297" s="197">
        <f>G298</f>
        <v>80000</v>
      </c>
      <c r="H297" s="140"/>
    </row>
    <row r="298" spans="1:8" ht="25.5">
      <c r="A298" s="443" t="s">
        <v>228</v>
      </c>
      <c r="B298" s="443"/>
      <c r="C298" s="195" t="s">
        <v>654</v>
      </c>
      <c r="D298" s="195" t="s">
        <v>654</v>
      </c>
      <c r="E298" s="196" t="s">
        <v>754</v>
      </c>
      <c r="F298" s="198">
        <v>200</v>
      </c>
      <c r="G298" s="194">
        <v>80000</v>
      </c>
      <c r="H298" s="140"/>
    </row>
    <row r="299" spans="1:8" ht="12.75">
      <c r="A299" s="436" t="s">
        <v>564</v>
      </c>
      <c r="B299" s="436"/>
      <c r="C299" s="213" t="s">
        <v>654</v>
      </c>
      <c r="D299" s="213" t="s">
        <v>102</v>
      </c>
      <c r="E299" s="213" t="s">
        <v>87</v>
      </c>
      <c r="F299" s="213" t="s">
        <v>87</v>
      </c>
      <c r="G299" s="197">
        <f>G300+G310</f>
        <v>9910416</v>
      </c>
      <c r="H299" s="140"/>
    </row>
    <row r="300" spans="1:8" ht="38.25">
      <c r="A300" s="211" t="s">
        <v>279</v>
      </c>
      <c r="B300" s="211"/>
      <c r="C300" s="195" t="s">
        <v>654</v>
      </c>
      <c r="D300" s="195" t="s">
        <v>102</v>
      </c>
      <c r="E300" s="196" t="s">
        <v>557</v>
      </c>
      <c r="F300" s="195" t="s">
        <v>87</v>
      </c>
      <c r="G300" s="197">
        <f>G301</f>
        <v>9905416</v>
      </c>
      <c r="H300" s="140"/>
    </row>
    <row r="301" spans="1:8" ht="51">
      <c r="A301" s="4" t="s">
        <v>708</v>
      </c>
      <c r="B301" s="4"/>
      <c r="C301" s="195" t="s">
        <v>654</v>
      </c>
      <c r="D301" s="195" t="s">
        <v>102</v>
      </c>
      <c r="E301" s="196" t="s">
        <v>309</v>
      </c>
      <c r="F301" s="198" t="s">
        <v>87</v>
      </c>
      <c r="G301" s="197">
        <f>G302+G305</f>
        <v>9905416</v>
      </c>
      <c r="H301" s="140"/>
    </row>
    <row r="302" spans="1:8" ht="51">
      <c r="A302" s="441" t="s">
        <v>461</v>
      </c>
      <c r="B302" s="441"/>
      <c r="C302" s="195" t="s">
        <v>654</v>
      </c>
      <c r="D302" s="195" t="s">
        <v>102</v>
      </c>
      <c r="E302" s="196" t="s">
        <v>310</v>
      </c>
      <c r="F302" s="198"/>
      <c r="G302" s="197">
        <f>G303</f>
        <v>236023</v>
      </c>
      <c r="H302" s="140"/>
    </row>
    <row r="303" spans="1:8" ht="38.25">
      <c r="A303" s="5" t="s">
        <v>596</v>
      </c>
      <c r="B303" s="5"/>
      <c r="C303" s="195" t="s">
        <v>654</v>
      </c>
      <c r="D303" s="195" t="s">
        <v>102</v>
      </c>
      <c r="E303" s="196" t="s">
        <v>311</v>
      </c>
      <c r="F303" s="195"/>
      <c r="G303" s="197">
        <f>G304</f>
        <v>236023</v>
      </c>
      <c r="H303" s="140"/>
    </row>
    <row r="304" spans="1:8" ht="63.75">
      <c r="A304" s="5" t="s">
        <v>735</v>
      </c>
      <c r="B304" s="5"/>
      <c r="C304" s="195" t="s">
        <v>654</v>
      </c>
      <c r="D304" s="195" t="s">
        <v>102</v>
      </c>
      <c r="E304" s="196" t="s">
        <v>311</v>
      </c>
      <c r="F304" s="195">
        <v>100</v>
      </c>
      <c r="G304" s="194">
        <v>236023</v>
      </c>
      <c r="H304" s="140"/>
    </row>
    <row r="305" spans="1:8" ht="38.25">
      <c r="A305" s="439" t="s">
        <v>326</v>
      </c>
      <c r="B305" s="439"/>
      <c r="C305" s="195" t="s">
        <v>654</v>
      </c>
      <c r="D305" s="195" t="s">
        <v>102</v>
      </c>
      <c r="E305" s="196" t="s">
        <v>313</v>
      </c>
      <c r="F305" s="195"/>
      <c r="G305" s="197">
        <f>G306</f>
        <v>9669393</v>
      </c>
      <c r="H305" s="140"/>
    </row>
    <row r="306" spans="1:8" ht="25.5">
      <c r="A306" s="198" t="s">
        <v>494</v>
      </c>
      <c r="B306" s="198"/>
      <c r="C306" s="195" t="s">
        <v>654</v>
      </c>
      <c r="D306" s="195" t="s">
        <v>102</v>
      </c>
      <c r="E306" s="196" t="s">
        <v>314</v>
      </c>
      <c r="F306" s="195" t="s">
        <v>87</v>
      </c>
      <c r="G306" s="197">
        <f>SUM(G307:G309)</f>
        <v>9669393</v>
      </c>
      <c r="H306" s="140"/>
    </row>
    <row r="307" spans="1:8" ht="63.75">
      <c r="A307" s="5" t="s">
        <v>735</v>
      </c>
      <c r="B307" s="5"/>
      <c r="C307" s="195" t="s">
        <v>654</v>
      </c>
      <c r="D307" s="195" t="s">
        <v>102</v>
      </c>
      <c r="E307" s="196" t="s">
        <v>314</v>
      </c>
      <c r="F307" s="195" t="s">
        <v>592</v>
      </c>
      <c r="G307" s="194">
        <v>7792459</v>
      </c>
      <c r="H307" s="140"/>
    </row>
    <row r="308" spans="1:8" ht="25.5">
      <c r="A308" s="5" t="s">
        <v>228</v>
      </c>
      <c r="B308" s="5"/>
      <c r="C308" s="195" t="s">
        <v>654</v>
      </c>
      <c r="D308" s="195" t="s">
        <v>102</v>
      </c>
      <c r="E308" s="196" t="s">
        <v>314</v>
      </c>
      <c r="F308" s="195" t="s">
        <v>74</v>
      </c>
      <c r="G308" s="194">
        <v>1871644</v>
      </c>
      <c r="H308" s="140"/>
    </row>
    <row r="309" spans="1:8" ht="12.75">
      <c r="A309" s="5" t="s">
        <v>77</v>
      </c>
      <c r="B309" s="5"/>
      <c r="C309" s="195" t="s">
        <v>654</v>
      </c>
      <c r="D309" s="195" t="s">
        <v>102</v>
      </c>
      <c r="E309" s="196" t="s">
        <v>314</v>
      </c>
      <c r="F309" s="195">
        <v>800</v>
      </c>
      <c r="G309" s="194">
        <v>5290</v>
      </c>
      <c r="H309" s="140"/>
    </row>
    <row r="310" spans="1:8" ht="25.5">
      <c r="A310" s="5" t="s">
        <v>459</v>
      </c>
      <c r="B310" s="5"/>
      <c r="C310" s="195" t="s">
        <v>654</v>
      </c>
      <c r="D310" s="195" t="s">
        <v>102</v>
      </c>
      <c r="E310" s="196" t="s">
        <v>304</v>
      </c>
      <c r="F310" s="195"/>
      <c r="G310" s="194">
        <f>G311</f>
        <v>5000</v>
      </c>
      <c r="H310" s="140"/>
    </row>
    <row r="311" spans="1:8" ht="12.75">
      <c r="A311" s="159" t="s">
        <v>274</v>
      </c>
      <c r="B311" s="580"/>
      <c r="C311" s="147" t="s">
        <v>654</v>
      </c>
      <c r="D311" s="147" t="s">
        <v>102</v>
      </c>
      <c r="E311" s="148" t="s">
        <v>273</v>
      </c>
      <c r="F311" s="147"/>
      <c r="G311" s="158">
        <f>G312</f>
        <v>5000</v>
      </c>
      <c r="H311" s="140"/>
    </row>
    <row r="312" spans="1:8" ht="25.5">
      <c r="A312" s="159" t="s">
        <v>81</v>
      </c>
      <c r="B312" s="580"/>
      <c r="C312" s="147" t="s">
        <v>654</v>
      </c>
      <c r="D312" s="147" t="s">
        <v>102</v>
      </c>
      <c r="E312" s="148" t="s">
        <v>273</v>
      </c>
      <c r="F312" s="147">
        <v>300</v>
      </c>
      <c r="G312" s="158">
        <v>5000</v>
      </c>
      <c r="H312" s="140"/>
    </row>
    <row r="313" spans="1:8" ht="12.75">
      <c r="A313" s="174" t="s">
        <v>722</v>
      </c>
      <c r="B313" s="174"/>
      <c r="C313" s="172" t="s">
        <v>553</v>
      </c>
      <c r="D313" s="216" t="s">
        <v>462</v>
      </c>
      <c r="E313" s="172" t="s">
        <v>87</v>
      </c>
      <c r="F313" s="172" t="s">
        <v>87</v>
      </c>
      <c r="G313" s="171">
        <f>G314</f>
        <v>28914423</v>
      </c>
      <c r="H313" s="140"/>
    </row>
    <row r="314" spans="1:8" ht="12.75">
      <c r="A314" s="214" t="s">
        <v>565</v>
      </c>
      <c r="B314" s="214"/>
      <c r="C314" s="213" t="s">
        <v>553</v>
      </c>
      <c r="D314" s="213" t="s">
        <v>530</v>
      </c>
      <c r="E314" s="213" t="s">
        <v>87</v>
      </c>
      <c r="F314" s="213" t="s">
        <v>87</v>
      </c>
      <c r="G314" s="197">
        <f>G315</f>
        <v>28914423</v>
      </c>
      <c r="H314" s="140"/>
    </row>
    <row r="315" spans="1:8" ht="25.5">
      <c r="A315" s="211" t="s">
        <v>15</v>
      </c>
      <c r="B315" s="211"/>
      <c r="C315" s="195" t="s">
        <v>553</v>
      </c>
      <c r="D315" s="195" t="s">
        <v>530</v>
      </c>
      <c r="E315" s="196" t="s">
        <v>315</v>
      </c>
      <c r="F315" s="195" t="s">
        <v>87</v>
      </c>
      <c r="G315" s="197">
        <f>G316+G322</f>
        <v>28914423</v>
      </c>
      <c r="H315" s="140"/>
    </row>
    <row r="316" spans="1:8" ht="25.5">
      <c r="A316" s="440" t="s">
        <v>586</v>
      </c>
      <c r="B316" s="440"/>
      <c r="C316" s="195" t="s">
        <v>553</v>
      </c>
      <c r="D316" s="195" t="s">
        <v>530</v>
      </c>
      <c r="E316" s="196" t="s">
        <v>316</v>
      </c>
      <c r="F316" s="198" t="s">
        <v>87</v>
      </c>
      <c r="G316" s="197">
        <f>G317</f>
        <v>5279218</v>
      </c>
      <c r="H316" s="140"/>
    </row>
    <row r="317" spans="1:8" ht="25.5">
      <c r="A317" s="437" t="s">
        <v>483</v>
      </c>
      <c r="B317" s="437"/>
      <c r="C317" s="195" t="s">
        <v>553</v>
      </c>
      <c r="D317" s="195" t="s">
        <v>530</v>
      </c>
      <c r="E317" s="196" t="s">
        <v>317</v>
      </c>
      <c r="F317" s="198"/>
      <c r="G317" s="197">
        <f>G318</f>
        <v>5279218</v>
      </c>
      <c r="H317" s="140"/>
    </row>
    <row r="318" spans="1:8" ht="25.5">
      <c r="A318" s="198" t="s">
        <v>733</v>
      </c>
      <c r="B318" s="198"/>
      <c r="C318" s="195" t="s">
        <v>553</v>
      </c>
      <c r="D318" s="195" t="s">
        <v>530</v>
      </c>
      <c r="E318" s="196" t="s">
        <v>318</v>
      </c>
      <c r="F318" s="195" t="s">
        <v>87</v>
      </c>
      <c r="G318" s="197">
        <f>SUM(G319:G321)</f>
        <v>5279218</v>
      </c>
      <c r="H318" s="140"/>
    </row>
    <row r="319" spans="1:8" ht="63.75">
      <c r="A319" s="5" t="s">
        <v>735</v>
      </c>
      <c r="B319" s="5"/>
      <c r="C319" s="195" t="s">
        <v>553</v>
      </c>
      <c r="D319" s="195" t="s">
        <v>530</v>
      </c>
      <c r="E319" s="196" t="s">
        <v>318</v>
      </c>
      <c r="F319" s="195">
        <v>100</v>
      </c>
      <c r="G319" s="194">
        <v>4920154</v>
      </c>
      <c r="H319" s="140"/>
    </row>
    <row r="320" spans="1:8" ht="25.5">
      <c r="A320" s="5" t="s">
        <v>228</v>
      </c>
      <c r="B320" s="5"/>
      <c r="C320" s="195" t="s">
        <v>553</v>
      </c>
      <c r="D320" s="195" t="s">
        <v>530</v>
      </c>
      <c r="E320" s="196" t="s">
        <v>318</v>
      </c>
      <c r="F320" s="195">
        <v>200</v>
      </c>
      <c r="G320" s="194">
        <v>326168</v>
      </c>
      <c r="H320" s="140"/>
    </row>
    <row r="321" spans="1:8" ht="12.75" customHeight="1">
      <c r="A321" s="5" t="s">
        <v>77</v>
      </c>
      <c r="B321" s="5"/>
      <c r="C321" s="195" t="s">
        <v>553</v>
      </c>
      <c r="D321" s="195" t="s">
        <v>530</v>
      </c>
      <c r="E321" s="196" t="s">
        <v>318</v>
      </c>
      <c r="F321" s="195">
        <v>800</v>
      </c>
      <c r="G321" s="194">
        <v>32896</v>
      </c>
      <c r="H321" s="140"/>
    </row>
    <row r="322" spans="1:8" ht="25.5">
      <c r="A322" s="4" t="s">
        <v>587</v>
      </c>
      <c r="B322" s="4"/>
      <c r="C322" s="195" t="s">
        <v>553</v>
      </c>
      <c r="D322" s="195" t="s">
        <v>530</v>
      </c>
      <c r="E322" s="196" t="s">
        <v>319</v>
      </c>
      <c r="F322" s="198"/>
      <c r="G322" s="197">
        <f>G323</f>
        <v>23635205</v>
      </c>
      <c r="H322" s="140"/>
    </row>
    <row r="323" spans="1:8" ht="51">
      <c r="A323" s="437" t="s">
        <v>641</v>
      </c>
      <c r="B323" s="437"/>
      <c r="C323" s="195" t="s">
        <v>553</v>
      </c>
      <c r="D323" s="195" t="s">
        <v>530</v>
      </c>
      <c r="E323" s="196" t="s">
        <v>320</v>
      </c>
      <c r="F323" s="198"/>
      <c r="G323" s="197">
        <f>G324+G326+G328</f>
        <v>23635205</v>
      </c>
      <c r="H323" s="140"/>
    </row>
    <row r="324" spans="1:8" ht="25.5">
      <c r="A324" s="198" t="s">
        <v>733</v>
      </c>
      <c r="B324" s="198"/>
      <c r="C324" s="195" t="s">
        <v>553</v>
      </c>
      <c r="D324" s="195" t="s">
        <v>530</v>
      </c>
      <c r="E324" s="196" t="s">
        <v>321</v>
      </c>
      <c r="F324" s="198"/>
      <c r="G324" s="197">
        <f>G325</f>
        <v>23511205</v>
      </c>
      <c r="H324" s="140"/>
    </row>
    <row r="325" spans="1:8" ht="38.25">
      <c r="A325" s="5" t="s">
        <v>90</v>
      </c>
      <c r="B325" s="5"/>
      <c r="C325" s="195" t="s">
        <v>553</v>
      </c>
      <c r="D325" s="195" t="s">
        <v>530</v>
      </c>
      <c r="E325" s="196" t="s">
        <v>321</v>
      </c>
      <c r="F325" s="198">
        <v>600</v>
      </c>
      <c r="G325" s="194">
        <v>23511205</v>
      </c>
      <c r="H325" s="140"/>
    </row>
    <row r="326" spans="1:8" ht="24">
      <c r="A326" s="438" t="s">
        <v>291</v>
      </c>
      <c r="B326" s="438"/>
      <c r="C326" s="223" t="s">
        <v>553</v>
      </c>
      <c r="D326" s="195" t="s">
        <v>530</v>
      </c>
      <c r="E326" s="196" t="s">
        <v>270</v>
      </c>
      <c r="F326" s="198"/>
      <c r="G326" s="197">
        <f>G327</f>
        <v>124000</v>
      </c>
      <c r="H326" s="140"/>
    </row>
    <row r="327" spans="1:8" ht="25.5">
      <c r="A327" s="193" t="s">
        <v>91</v>
      </c>
      <c r="B327" s="193"/>
      <c r="C327" s="222" t="s">
        <v>553</v>
      </c>
      <c r="D327" s="191" t="s">
        <v>530</v>
      </c>
      <c r="E327" s="192" t="s">
        <v>270</v>
      </c>
      <c r="F327" s="217">
        <v>200</v>
      </c>
      <c r="G327" s="190">
        <v>124000</v>
      </c>
      <c r="H327" s="140"/>
    </row>
    <row r="328" spans="1:8" ht="38.25" hidden="1">
      <c r="A328" s="145" t="s">
        <v>810</v>
      </c>
      <c r="B328" s="457"/>
      <c r="C328" s="163" t="s">
        <v>553</v>
      </c>
      <c r="D328" s="147" t="s">
        <v>530</v>
      </c>
      <c r="E328" s="144" t="s">
        <v>809</v>
      </c>
      <c r="F328" s="149"/>
      <c r="G328" s="224">
        <f>G329</f>
        <v>0</v>
      </c>
      <c r="H328" s="140"/>
    </row>
    <row r="329" spans="1:8" ht="58.5" customHeight="1" hidden="1">
      <c r="A329" s="159" t="s">
        <v>90</v>
      </c>
      <c r="B329" s="457"/>
      <c r="C329" s="162" t="s">
        <v>553</v>
      </c>
      <c r="D329" s="143" t="s">
        <v>530</v>
      </c>
      <c r="E329" s="144" t="s">
        <v>809</v>
      </c>
      <c r="F329" s="157">
        <v>600</v>
      </c>
      <c r="G329" s="224"/>
      <c r="H329" s="140"/>
    </row>
    <row r="330" spans="1:8" ht="12.75">
      <c r="A330" s="458" t="s">
        <v>817</v>
      </c>
      <c r="B330" s="458"/>
      <c r="C330" s="216" t="s">
        <v>102</v>
      </c>
      <c r="D330" s="173" t="s">
        <v>462</v>
      </c>
      <c r="E330" s="202"/>
      <c r="F330" s="201"/>
      <c r="G330" s="171">
        <f>G331</f>
        <v>1084220</v>
      </c>
      <c r="H330" s="140"/>
    </row>
    <row r="331" spans="1:8" ht="12.75">
      <c r="A331" s="443" t="s">
        <v>44</v>
      </c>
      <c r="B331" s="443"/>
      <c r="C331" s="223" t="s">
        <v>102</v>
      </c>
      <c r="D331" s="223" t="s">
        <v>654</v>
      </c>
      <c r="E331" s="196"/>
      <c r="F331" s="198"/>
      <c r="G331" s="197">
        <f>G332</f>
        <v>1084220</v>
      </c>
      <c r="H331" s="140"/>
    </row>
    <row r="332" spans="1:8" ht="25.5">
      <c r="A332" s="211" t="s">
        <v>626</v>
      </c>
      <c r="B332" s="211"/>
      <c r="C332" s="223" t="s">
        <v>102</v>
      </c>
      <c r="D332" s="223" t="s">
        <v>654</v>
      </c>
      <c r="E332" s="196" t="s">
        <v>14</v>
      </c>
      <c r="F332" s="198"/>
      <c r="G332" s="197">
        <f>G333</f>
        <v>1084220</v>
      </c>
      <c r="H332" s="140"/>
    </row>
    <row r="333" spans="1:8" ht="25.5">
      <c r="A333" s="4" t="s">
        <v>636</v>
      </c>
      <c r="B333" s="4"/>
      <c r="C333" s="223" t="s">
        <v>102</v>
      </c>
      <c r="D333" s="223" t="s">
        <v>654</v>
      </c>
      <c r="E333" s="199" t="s">
        <v>16</v>
      </c>
      <c r="F333" s="198"/>
      <c r="G333" s="197">
        <f>G334</f>
        <v>1084220</v>
      </c>
      <c r="H333" s="140"/>
    </row>
    <row r="334" spans="1:8" ht="38.25">
      <c r="A334" s="6" t="s">
        <v>768</v>
      </c>
      <c r="B334" s="6"/>
      <c r="C334" s="223" t="s">
        <v>102</v>
      </c>
      <c r="D334" s="223" t="s">
        <v>654</v>
      </c>
      <c r="E334" s="196" t="s">
        <v>45</v>
      </c>
      <c r="F334" s="198"/>
      <c r="G334" s="197">
        <f>G335</f>
        <v>1084220</v>
      </c>
      <c r="H334" s="140"/>
    </row>
    <row r="335" spans="1:8" ht="25.5">
      <c r="A335" s="193" t="s">
        <v>91</v>
      </c>
      <c r="B335" s="193"/>
      <c r="C335" s="222" t="s">
        <v>102</v>
      </c>
      <c r="D335" s="222" t="s">
        <v>654</v>
      </c>
      <c r="E335" s="192" t="s">
        <v>45</v>
      </c>
      <c r="F335" s="217">
        <v>200</v>
      </c>
      <c r="G335" s="190">
        <v>1084220</v>
      </c>
      <c r="H335" s="140"/>
    </row>
    <row r="336" spans="1:8" ht="12.75">
      <c r="A336" s="174" t="s">
        <v>566</v>
      </c>
      <c r="B336" s="174"/>
      <c r="C336" s="172" t="s">
        <v>554</v>
      </c>
      <c r="D336" s="216" t="s">
        <v>462</v>
      </c>
      <c r="E336" s="172" t="s">
        <v>87</v>
      </c>
      <c r="F336" s="172" t="s">
        <v>87</v>
      </c>
      <c r="G336" s="171">
        <f>G337+G343+G356</f>
        <v>11272146</v>
      </c>
      <c r="H336" s="140"/>
    </row>
    <row r="337" spans="1:8" ht="12.75">
      <c r="A337" s="214" t="s">
        <v>567</v>
      </c>
      <c r="B337" s="214"/>
      <c r="C337" s="213" t="s">
        <v>554</v>
      </c>
      <c r="D337" s="213" t="s">
        <v>101</v>
      </c>
      <c r="E337" s="213" t="s">
        <v>87</v>
      </c>
      <c r="F337" s="213" t="s">
        <v>87</v>
      </c>
      <c r="G337" s="197">
        <f>G338</f>
        <v>24000</v>
      </c>
      <c r="H337" s="140"/>
    </row>
    <row r="338" spans="1:8" ht="38.25">
      <c r="A338" s="211" t="s">
        <v>279</v>
      </c>
      <c r="B338" s="211"/>
      <c r="C338" s="195">
        <v>10</v>
      </c>
      <c r="D338" s="195" t="s">
        <v>101</v>
      </c>
      <c r="E338" s="196" t="s">
        <v>557</v>
      </c>
      <c r="F338" s="195"/>
      <c r="G338" s="197">
        <f>G339</f>
        <v>24000</v>
      </c>
      <c r="H338" s="140"/>
    </row>
    <row r="339" spans="1:8" ht="51">
      <c r="A339" s="4" t="s">
        <v>278</v>
      </c>
      <c r="B339" s="4"/>
      <c r="C339" s="195">
        <v>10</v>
      </c>
      <c r="D339" s="195" t="s">
        <v>101</v>
      </c>
      <c r="E339" s="199" t="s">
        <v>558</v>
      </c>
      <c r="F339" s="195"/>
      <c r="G339" s="197">
        <f>G340</f>
        <v>24000</v>
      </c>
      <c r="H339" s="140"/>
    </row>
    <row r="340" spans="1:8" ht="25.5">
      <c r="A340" s="449" t="s">
        <v>459</v>
      </c>
      <c r="B340" s="449"/>
      <c r="C340" s="195">
        <v>10</v>
      </c>
      <c r="D340" s="195" t="s">
        <v>101</v>
      </c>
      <c r="E340" s="199" t="s">
        <v>304</v>
      </c>
      <c r="F340" s="195"/>
      <c r="G340" s="197">
        <f>G341</f>
        <v>24000</v>
      </c>
      <c r="H340" s="140"/>
    </row>
    <row r="341" spans="1:8" ht="12.75">
      <c r="A341" s="439" t="s">
        <v>274</v>
      </c>
      <c r="B341" s="438"/>
      <c r="C341" s="195">
        <v>10</v>
      </c>
      <c r="D341" s="195" t="s">
        <v>101</v>
      </c>
      <c r="E341" s="196" t="s">
        <v>273</v>
      </c>
      <c r="F341" s="195"/>
      <c r="G341" s="197">
        <f>G342</f>
        <v>24000</v>
      </c>
      <c r="H341" s="140"/>
    </row>
    <row r="342" spans="1:8" ht="18" customHeight="1">
      <c r="A342" s="5" t="s">
        <v>81</v>
      </c>
      <c r="B342" s="5"/>
      <c r="C342" s="195">
        <v>10</v>
      </c>
      <c r="D342" s="195" t="s">
        <v>101</v>
      </c>
      <c r="E342" s="196" t="s">
        <v>273</v>
      </c>
      <c r="F342" s="195">
        <v>300</v>
      </c>
      <c r="G342" s="194">
        <v>24000</v>
      </c>
      <c r="H342" s="140"/>
    </row>
    <row r="343" spans="1:8" ht="12.75">
      <c r="A343" s="214" t="s">
        <v>568</v>
      </c>
      <c r="B343" s="214"/>
      <c r="C343" s="213" t="s">
        <v>554</v>
      </c>
      <c r="D343" s="213" t="s">
        <v>533</v>
      </c>
      <c r="E343" s="213" t="s">
        <v>87</v>
      </c>
      <c r="F343" s="213" t="s">
        <v>87</v>
      </c>
      <c r="G343" s="197">
        <f>G350+G344</f>
        <v>10913446</v>
      </c>
      <c r="H343" s="140"/>
    </row>
    <row r="344" spans="1:8" ht="25.5">
      <c r="A344" s="211" t="s">
        <v>162</v>
      </c>
      <c r="B344" s="214"/>
      <c r="C344" s="195">
        <v>10</v>
      </c>
      <c r="D344" s="195" t="s">
        <v>533</v>
      </c>
      <c r="E344" s="213" t="s">
        <v>223</v>
      </c>
      <c r="F344" s="213"/>
      <c r="G344" s="197">
        <f>G345</f>
        <v>5797348</v>
      </c>
      <c r="H344" s="140"/>
    </row>
    <row r="345" spans="1:8" ht="63.75">
      <c r="A345" s="4" t="s">
        <v>240</v>
      </c>
      <c r="B345" s="214"/>
      <c r="C345" s="195">
        <v>10</v>
      </c>
      <c r="D345" s="195" t="s">
        <v>533</v>
      </c>
      <c r="E345" s="213" t="s">
        <v>7</v>
      </c>
      <c r="F345" s="213"/>
      <c r="G345" s="197">
        <f>G346</f>
        <v>5797348</v>
      </c>
      <c r="H345" s="140"/>
    </row>
    <row r="346" spans="1:8" ht="44.25" customHeight="1">
      <c r="A346" s="390" t="s">
        <v>933</v>
      </c>
      <c r="B346" s="214"/>
      <c r="C346" s="195">
        <v>10</v>
      </c>
      <c r="D346" s="195" t="s">
        <v>533</v>
      </c>
      <c r="E346" s="213" t="s">
        <v>916</v>
      </c>
      <c r="F346" s="213"/>
      <c r="G346" s="197">
        <f>G347</f>
        <v>5797348</v>
      </c>
      <c r="H346" s="140"/>
    </row>
    <row r="347" spans="1:8" ht="51">
      <c r="A347" s="390" t="s">
        <v>909</v>
      </c>
      <c r="B347" s="214"/>
      <c r="C347" s="195">
        <v>10</v>
      </c>
      <c r="D347" s="195" t="s">
        <v>533</v>
      </c>
      <c r="E347" s="213" t="s">
        <v>917</v>
      </c>
      <c r="F347" s="213"/>
      <c r="G347" s="197">
        <f>G349+G348</f>
        <v>5797348</v>
      </c>
      <c r="H347" s="140"/>
    </row>
    <row r="348" spans="1:8" ht="25.5">
      <c r="A348" s="5" t="s">
        <v>228</v>
      </c>
      <c r="B348" s="214"/>
      <c r="C348" s="195" t="s">
        <v>554</v>
      </c>
      <c r="D348" s="195" t="s">
        <v>533</v>
      </c>
      <c r="E348" s="148" t="s">
        <v>917</v>
      </c>
      <c r="F348" s="147">
        <v>200</v>
      </c>
      <c r="G348" s="158">
        <f>69421+25736</f>
        <v>95157</v>
      </c>
      <c r="H348" s="140"/>
    </row>
    <row r="349" spans="1:8" ht="25.5">
      <c r="A349" s="390" t="s">
        <v>221</v>
      </c>
      <c r="B349" s="214"/>
      <c r="C349" s="195">
        <v>10</v>
      </c>
      <c r="D349" s="195" t="s">
        <v>533</v>
      </c>
      <c r="E349" s="213" t="s">
        <v>917</v>
      </c>
      <c r="F349" s="213">
        <v>400</v>
      </c>
      <c r="G349" s="197">
        <v>5702191</v>
      </c>
      <c r="H349" s="140"/>
    </row>
    <row r="350" spans="1:8" ht="38.25">
      <c r="A350" s="211" t="s">
        <v>277</v>
      </c>
      <c r="B350" s="211"/>
      <c r="C350" s="195">
        <v>10</v>
      </c>
      <c r="D350" s="195" t="s">
        <v>533</v>
      </c>
      <c r="E350" s="196" t="s">
        <v>557</v>
      </c>
      <c r="F350" s="195"/>
      <c r="G350" s="197">
        <f>G351</f>
        <v>5116098</v>
      </c>
      <c r="H350" s="140"/>
    </row>
    <row r="351" spans="1:8" ht="51">
      <c r="A351" s="4" t="s">
        <v>278</v>
      </c>
      <c r="B351" s="4"/>
      <c r="C351" s="195">
        <v>10</v>
      </c>
      <c r="D351" s="195" t="s">
        <v>533</v>
      </c>
      <c r="E351" s="199" t="s">
        <v>558</v>
      </c>
      <c r="F351" s="195"/>
      <c r="G351" s="197">
        <f>G352</f>
        <v>5116098</v>
      </c>
      <c r="H351" s="140"/>
    </row>
    <row r="352" spans="1:8" ht="25.5">
      <c r="A352" s="459" t="s">
        <v>457</v>
      </c>
      <c r="B352" s="459"/>
      <c r="C352" s="195">
        <v>10</v>
      </c>
      <c r="D352" s="195" t="s">
        <v>533</v>
      </c>
      <c r="E352" s="199" t="s">
        <v>131</v>
      </c>
      <c r="F352" s="195"/>
      <c r="G352" s="197">
        <f>G353</f>
        <v>5116098</v>
      </c>
      <c r="H352" s="140"/>
    </row>
    <row r="353" spans="1:8" ht="12.75">
      <c r="A353" s="5" t="s">
        <v>323</v>
      </c>
      <c r="B353" s="5"/>
      <c r="C353" s="195">
        <v>10</v>
      </c>
      <c r="D353" s="195" t="s">
        <v>533</v>
      </c>
      <c r="E353" s="196" t="s">
        <v>243</v>
      </c>
      <c r="F353" s="195"/>
      <c r="G353" s="197">
        <f>SUM(G354:G355)</f>
        <v>5116098</v>
      </c>
      <c r="H353" s="140"/>
    </row>
    <row r="354" spans="1:8" ht="25.5">
      <c r="A354" s="5" t="s">
        <v>228</v>
      </c>
      <c r="B354" s="5"/>
      <c r="C354" s="195">
        <v>10</v>
      </c>
      <c r="D354" s="195" t="s">
        <v>533</v>
      </c>
      <c r="E354" s="196" t="s">
        <v>243</v>
      </c>
      <c r="F354" s="195">
        <v>200</v>
      </c>
      <c r="G354" s="194">
        <v>20382</v>
      </c>
      <c r="H354" s="140"/>
    </row>
    <row r="355" spans="1:8" ht="25.5">
      <c r="A355" s="193" t="s">
        <v>81</v>
      </c>
      <c r="B355" s="193"/>
      <c r="C355" s="191">
        <v>10</v>
      </c>
      <c r="D355" s="191" t="s">
        <v>533</v>
      </c>
      <c r="E355" s="192" t="s">
        <v>243</v>
      </c>
      <c r="F355" s="191">
        <v>300</v>
      </c>
      <c r="G355" s="190">
        <v>5095716</v>
      </c>
      <c r="H355" s="140"/>
    </row>
    <row r="356" spans="1:8" ht="12.75">
      <c r="A356" s="214" t="s">
        <v>573</v>
      </c>
      <c r="B356" s="214"/>
      <c r="C356" s="213" t="s">
        <v>554</v>
      </c>
      <c r="D356" s="213" t="s">
        <v>534</v>
      </c>
      <c r="E356" s="313"/>
      <c r="F356" s="312"/>
      <c r="G356" s="234">
        <f>G357</f>
        <v>334700</v>
      </c>
      <c r="H356" s="140"/>
    </row>
    <row r="357" spans="1:8" ht="52.5" customHeight="1">
      <c r="A357" s="211" t="s">
        <v>296</v>
      </c>
      <c r="B357" s="211"/>
      <c r="C357" s="195" t="s">
        <v>554</v>
      </c>
      <c r="D357" s="195" t="s">
        <v>534</v>
      </c>
      <c r="E357" s="195" t="s">
        <v>12</v>
      </c>
      <c r="F357" s="397"/>
      <c r="G357" s="194">
        <f>G358</f>
        <v>334700</v>
      </c>
      <c r="H357" s="140"/>
    </row>
    <row r="358" spans="1:8" ht="76.5">
      <c r="A358" s="4" t="s">
        <v>297</v>
      </c>
      <c r="B358" s="4"/>
      <c r="C358" s="195" t="s">
        <v>554</v>
      </c>
      <c r="D358" s="195" t="s">
        <v>534</v>
      </c>
      <c r="E358" s="195" t="s">
        <v>13</v>
      </c>
      <c r="F358" s="397"/>
      <c r="G358" s="194">
        <f>G359</f>
        <v>334700</v>
      </c>
      <c r="H358" s="140"/>
    </row>
    <row r="359" spans="1:8" ht="38.25">
      <c r="A359" s="159" t="s">
        <v>286</v>
      </c>
      <c r="B359" s="159"/>
      <c r="C359" s="147" t="s">
        <v>554</v>
      </c>
      <c r="D359" s="147" t="s">
        <v>534</v>
      </c>
      <c r="E359" s="147" t="s">
        <v>275</v>
      </c>
      <c r="F359" s="147"/>
      <c r="G359" s="146">
        <f>G360</f>
        <v>334700</v>
      </c>
      <c r="H359" s="140"/>
    </row>
    <row r="360" spans="1:8" ht="51">
      <c r="A360" s="159" t="s">
        <v>109</v>
      </c>
      <c r="B360" s="159"/>
      <c r="C360" s="147" t="s">
        <v>554</v>
      </c>
      <c r="D360" s="147" t="s">
        <v>534</v>
      </c>
      <c r="E360" s="147" t="s">
        <v>287</v>
      </c>
      <c r="F360" s="147"/>
      <c r="G360" s="146">
        <f>SUM(G361:G361)</f>
        <v>334700</v>
      </c>
      <c r="H360" s="140"/>
    </row>
    <row r="361" spans="1:8" ht="63.75">
      <c r="A361" s="159" t="s">
        <v>735</v>
      </c>
      <c r="B361" s="159"/>
      <c r="C361" s="147" t="s">
        <v>554</v>
      </c>
      <c r="D361" s="147" t="s">
        <v>534</v>
      </c>
      <c r="E361" s="147" t="s">
        <v>287</v>
      </c>
      <c r="F361" s="147">
        <v>100</v>
      </c>
      <c r="G361" s="158">
        <v>334700</v>
      </c>
      <c r="H361" s="140"/>
    </row>
    <row r="362" spans="1:8" ht="12.75">
      <c r="A362" s="174" t="s">
        <v>242</v>
      </c>
      <c r="B362" s="174"/>
      <c r="C362" s="172" t="s">
        <v>536</v>
      </c>
      <c r="D362" s="216" t="s">
        <v>462</v>
      </c>
      <c r="E362" s="172" t="s">
        <v>87</v>
      </c>
      <c r="F362" s="172" t="s">
        <v>87</v>
      </c>
      <c r="G362" s="215">
        <f aca="true" t="shared" si="0" ref="G362:G367">G363</f>
        <v>100000</v>
      </c>
      <c r="H362" s="140"/>
    </row>
    <row r="363" spans="1:8" ht="12.75">
      <c r="A363" s="214" t="s">
        <v>439</v>
      </c>
      <c r="B363" s="214"/>
      <c r="C363" s="213" t="s">
        <v>536</v>
      </c>
      <c r="D363" s="213" t="s">
        <v>532</v>
      </c>
      <c r="E363" s="213" t="s">
        <v>87</v>
      </c>
      <c r="F363" s="213" t="s">
        <v>87</v>
      </c>
      <c r="G363" s="197">
        <f t="shared" si="0"/>
        <v>100000</v>
      </c>
      <c r="H363" s="140"/>
    </row>
    <row r="364" spans="1:8" ht="63.75">
      <c r="A364" s="211" t="s">
        <v>438</v>
      </c>
      <c r="B364" s="211"/>
      <c r="C364" s="195" t="s">
        <v>536</v>
      </c>
      <c r="D364" s="195" t="s">
        <v>532</v>
      </c>
      <c r="E364" s="196" t="s">
        <v>437</v>
      </c>
      <c r="F364" s="209" t="s">
        <v>87</v>
      </c>
      <c r="G364" s="197">
        <f t="shared" si="0"/>
        <v>100000</v>
      </c>
      <c r="H364" s="140"/>
    </row>
    <row r="365" spans="1:8" ht="76.5">
      <c r="A365" s="4" t="s">
        <v>436</v>
      </c>
      <c r="B365" s="4"/>
      <c r="C365" s="195" t="s">
        <v>536</v>
      </c>
      <c r="D365" s="195" t="s">
        <v>532</v>
      </c>
      <c r="E365" s="196" t="s">
        <v>248</v>
      </c>
      <c r="F365" s="210" t="s">
        <v>87</v>
      </c>
      <c r="G365" s="197">
        <f t="shared" si="0"/>
        <v>100000</v>
      </c>
      <c r="H365" s="140"/>
    </row>
    <row r="366" spans="1:8" ht="63.75">
      <c r="A366" s="439" t="s">
        <v>247</v>
      </c>
      <c r="B366" s="439"/>
      <c r="C366" s="195" t="s">
        <v>536</v>
      </c>
      <c r="D366" s="195" t="s">
        <v>532</v>
      </c>
      <c r="E366" s="196" t="s">
        <v>246</v>
      </c>
      <c r="F366" s="210"/>
      <c r="G366" s="197">
        <f t="shared" si="0"/>
        <v>100000</v>
      </c>
      <c r="H366" s="140"/>
    </row>
    <row r="367" spans="1:8" ht="51">
      <c r="A367" s="439" t="s">
        <v>245</v>
      </c>
      <c r="B367" s="439"/>
      <c r="C367" s="195" t="s">
        <v>536</v>
      </c>
      <c r="D367" s="195" t="s">
        <v>532</v>
      </c>
      <c r="E367" s="196" t="s">
        <v>244</v>
      </c>
      <c r="F367" s="210"/>
      <c r="G367" s="197">
        <f t="shared" si="0"/>
        <v>100000</v>
      </c>
      <c r="H367" s="140"/>
    </row>
    <row r="368" spans="1:8" ht="25.5">
      <c r="A368" s="193" t="s">
        <v>228</v>
      </c>
      <c r="B368" s="193"/>
      <c r="C368" s="191" t="s">
        <v>536</v>
      </c>
      <c r="D368" s="191" t="s">
        <v>532</v>
      </c>
      <c r="E368" s="192" t="s">
        <v>244</v>
      </c>
      <c r="F368" s="217">
        <v>200</v>
      </c>
      <c r="G368" s="190">
        <v>100000</v>
      </c>
      <c r="H368" s="140"/>
    </row>
    <row r="369" spans="1:8" ht="25.5">
      <c r="A369" s="221" t="s">
        <v>463</v>
      </c>
      <c r="B369" s="220" t="s">
        <v>325</v>
      </c>
      <c r="C369" s="260"/>
      <c r="D369" s="260"/>
      <c r="E369" s="412"/>
      <c r="F369" s="219"/>
      <c r="G369" s="218">
        <f>G370+G379+G387+G396+G452</f>
        <v>68953330</v>
      </c>
      <c r="H369" s="140"/>
    </row>
    <row r="370" spans="1:8" ht="12.75">
      <c r="A370" s="174" t="s">
        <v>593</v>
      </c>
      <c r="B370" s="172"/>
      <c r="C370" s="172" t="s">
        <v>530</v>
      </c>
      <c r="D370" s="216" t="s">
        <v>462</v>
      </c>
      <c r="E370" s="172" t="s">
        <v>87</v>
      </c>
      <c r="F370" s="172" t="s">
        <v>87</v>
      </c>
      <c r="G370" s="171">
        <f>G371</f>
        <v>4420392</v>
      </c>
      <c r="H370" s="140"/>
    </row>
    <row r="371" spans="1:8" ht="38.25">
      <c r="A371" s="214" t="s">
        <v>345</v>
      </c>
      <c r="B371" s="213"/>
      <c r="C371" s="213" t="s">
        <v>530</v>
      </c>
      <c r="D371" s="213" t="s">
        <v>534</v>
      </c>
      <c r="E371" s="213" t="s">
        <v>87</v>
      </c>
      <c r="F371" s="213" t="s">
        <v>87</v>
      </c>
      <c r="G371" s="197">
        <f>G372</f>
        <v>4420392</v>
      </c>
      <c r="H371" s="140"/>
    </row>
    <row r="372" spans="1:8" ht="25.5">
      <c r="A372" s="211" t="s">
        <v>171</v>
      </c>
      <c r="B372" s="211"/>
      <c r="C372" s="195" t="s">
        <v>530</v>
      </c>
      <c r="D372" s="195" t="s">
        <v>534</v>
      </c>
      <c r="E372" s="195" t="s">
        <v>693</v>
      </c>
      <c r="F372" s="195" t="s">
        <v>87</v>
      </c>
      <c r="G372" s="197">
        <f>G373</f>
        <v>4420392</v>
      </c>
      <c r="H372" s="140"/>
    </row>
    <row r="373" spans="1:8" ht="51">
      <c r="A373" s="4" t="s">
        <v>173</v>
      </c>
      <c r="B373" s="4"/>
      <c r="C373" s="195" t="s">
        <v>530</v>
      </c>
      <c r="D373" s="195" t="s">
        <v>534</v>
      </c>
      <c r="E373" s="195" t="s">
        <v>694</v>
      </c>
      <c r="F373" s="198" t="s">
        <v>87</v>
      </c>
      <c r="G373" s="197">
        <f>G374</f>
        <v>4420392</v>
      </c>
      <c r="H373" s="140"/>
    </row>
    <row r="374" spans="1:8" ht="38.25">
      <c r="A374" s="441" t="s">
        <v>594</v>
      </c>
      <c r="B374" s="441"/>
      <c r="C374" s="195" t="s">
        <v>530</v>
      </c>
      <c r="D374" s="195" t="s">
        <v>534</v>
      </c>
      <c r="E374" s="195" t="s">
        <v>312</v>
      </c>
      <c r="F374" s="198"/>
      <c r="G374" s="197">
        <f>G375</f>
        <v>4420392</v>
      </c>
      <c r="H374" s="140"/>
    </row>
    <row r="375" spans="1:8" ht="25.5">
      <c r="A375" s="198" t="s">
        <v>731</v>
      </c>
      <c r="B375" s="198"/>
      <c r="C375" s="195" t="s">
        <v>530</v>
      </c>
      <c r="D375" s="195" t="s">
        <v>534</v>
      </c>
      <c r="E375" s="195" t="s">
        <v>695</v>
      </c>
      <c r="F375" s="195" t="s">
        <v>87</v>
      </c>
      <c r="G375" s="197">
        <f>SUM(G376:G378)</f>
        <v>4420392</v>
      </c>
      <c r="H375" s="140"/>
    </row>
    <row r="376" spans="1:8" ht="25.5" customHeight="1">
      <c r="A376" s="5" t="s">
        <v>735</v>
      </c>
      <c r="B376" s="5"/>
      <c r="C376" s="195" t="s">
        <v>530</v>
      </c>
      <c r="D376" s="195" t="s">
        <v>534</v>
      </c>
      <c r="E376" s="195" t="s">
        <v>695</v>
      </c>
      <c r="F376" s="195">
        <v>100</v>
      </c>
      <c r="G376" s="194">
        <f>4013155+4338</f>
        <v>4017493</v>
      </c>
      <c r="H376" s="140"/>
    </row>
    <row r="377" spans="1:8" ht="25.5">
      <c r="A377" s="5" t="s">
        <v>228</v>
      </c>
      <c r="B377" s="5"/>
      <c r="C377" s="195" t="s">
        <v>530</v>
      </c>
      <c r="D377" s="195" t="s">
        <v>534</v>
      </c>
      <c r="E377" s="195" t="s">
        <v>695</v>
      </c>
      <c r="F377" s="195" t="s">
        <v>74</v>
      </c>
      <c r="G377" s="194">
        <f>402899</f>
        <v>402899</v>
      </c>
      <c r="H377" s="140"/>
    </row>
    <row r="378" spans="1:8" ht="12.75">
      <c r="A378" s="5" t="s">
        <v>77</v>
      </c>
      <c r="B378" s="5"/>
      <c r="C378" s="195" t="s">
        <v>530</v>
      </c>
      <c r="D378" s="195" t="s">
        <v>534</v>
      </c>
      <c r="E378" s="195" t="s">
        <v>695</v>
      </c>
      <c r="F378" s="195">
        <v>800</v>
      </c>
      <c r="G378" s="194"/>
      <c r="H378" s="140"/>
    </row>
    <row r="379" spans="1:8" ht="12.75">
      <c r="A379" s="174" t="s">
        <v>723</v>
      </c>
      <c r="B379" s="174"/>
      <c r="C379" s="172" t="s">
        <v>533</v>
      </c>
      <c r="D379" s="216" t="s">
        <v>462</v>
      </c>
      <c r="E379" s="172" t="s">
        <v>87</v>
      </c>
      <c r="F379" s="172" t="s">
        <v>87</v>
      </c>
      <c r="G379" s="171">
        <f>G380</f>
        <v>334700</v>
      </c>
      <c r="H379" s="140"/>
    </row>
    <row r="380" spans="1:8" ht="12.75">
      <c r="A380" s="214" t="s">
        <v>724</v>
      </c>
      <c r="B380" s="214"/>
      <c r="C380" s="213" t="s">
        <v>533</v>
      </c>
      <c r="D380" s="213" t="s">
        <v>530</v>
      </c>
      <c r="E380" s="213" t="s">
        <v>87</v>
      </c>
      <c r="F380" s="213" t="s">
        <v>87</v>
      </c>
      <c r="G380" s="197">
        <f>G381</f>
        <v>334700</v>
      </c>
      <c r="H380" s="140"/>
    </row>
    <row r="381" spans="1:8" ht="38.25">
      <c r="A381" s="211" t="s">
        <v>702</v>
      </c>
      <c r="B381" s="211"/>
      <c r="C381" s="195" t="s">
        <v>533</v>
      </c>
      <c r="D381" s="195" t="s">
        <v>530</v>
      </c>
      <c r="E381" s="196" t="s">
        <v>21</v>
      </c>
      <c r="F381" s="195" t="s">
        <v>87</v>
      </c>
      <c r="G381" s="197">
        <f>G382</f>
        <v>334700</v>
      </c>
      <c r="H381" s="140"/>
    </row>
    <row r="382" spans="1:8" ht="51">
      <c r="A382" s="4" t="s">
        <v>585</v>
      </c>
      <c r="B382" s="4"/>
      <c r="C382" s="195" t="s">
        <v>533</v>
      </c>
      <c r="D382" s="195" t="s">
        <v>530</v>
      </c>
      <c r="E382" s="196" t="s">
        <v>26</v>
      </c>
      <c r="F382" s="195"/>
      <c r="G382" s="197">
        <f>G383</f>
        <v>334700</v>
      </c>
      <c r="H382" s="140"/>
    </row>
    <row r="383" spans="1:8" ht="39" customHeight="1">
      <c r="A383" s="441" t="s">
        <v>453</v>
      </c>
      <c r="B383" s="441"/>
      <c r="C383" s="195" t="s">
        <v>533</v>
      </c>
      <c r="D383" s="195" t="s">
        <v>530</v>
      </c>
      <c r="E383" s="196" t="s">
        <v>27</v>
      </c>
      <c r="F383" s="195"/>
      <c r="G383" s="197">
        <f>G384</f>
        <v>334700</v>
      </c>
      <c r="H383" s="140"/>
    </row>
    <row r="384" spans="1:8" ht="25.5">
      <c r="A384" s="198" t="s">
        <v>470</v>
      </c>
      <c r="B384" s="198"/>
      <c r="C384" s="195" t="s">
        <v>533</v>
      </c>
      <c r="D384" s="195" t="s">
        <v>530</v>
      </c>
      <c r="E384" s="196" t="s">
        <v>28</v>
      </c>
      <c r="F384" s="209" t="s">
        <v>87</v>
      </c>
      <c r="G384" s="197">
        <f>SUM(G385:G386)</f>
        <v>334700</v>
      </c>
      <c r="H384" s="140"/>
    </row>
    <row r="385" spans="1:8" ht="63.75">
      <c r="A385" s="5" t="s">
        <v>735</v>
      </c>
      <c r="B385" s="5"/>
      <c r="C385" s="195" t="s">
        <v>533</v>
      </c>
      <c r="D385" s="195" t="s">
        <v>530</v>
      </c>
      <c r="E385" s="196" t="s">
        <v>28</v>
      </c>
      <c r="F385" s="195">
        <v>100</v>
      </c>
      <c r="G385" s="194">
        <v>275523.51</v>
      </c>
      <c r="H385" s="140"/>
    </row>
    <row r="386" spans="1:8" ht="25.5">
      <c r="A386" s="5" t="s">
        <v>228</v>
      </c>
      <c r="B386" s="193"/>
      <c r="C386" s="191" t="s">
        <v>533</v>
      </c>
      <c r="D386" s="191" t="s">
        <v>530</v>
      </c>
      <c r="E386" s="192" t="s">
        <v>28</v>
      </c>
      <c r="F386" s="191">
        <v>200</v>
      </c>
      <c r="G386" s="190">
        <v>59176.49</v>
      </c>
      <c r="H386" s="140"/>
    </row>
    <row r="387" spans="1:8" ht="12.75">
      <c r="A387" s="174" t="s">
        <v>561</v>
      </c>
      <c r="B387" s="174"/>
      <c r="C387" s="172" t="s">
        <v>654</v>
      </c>
      <c r="D387" s="216" t="s">
        <v>462</v>
      </c>
      <c r="E387" s="172" t="s">
        <v>87</v>
      </c>
      <c r="F387" s="172" t="s">
        <v>87</v>
      </c>
      <c r="G387" s="171">
        <f>G388</f>
        <v>1556375</v>
      </c>
      <c r="H387" s="140"/>
    </row>
    <row r="388" spans="1:8" ht="12.75">
      <c r="A388" s="436" t="s">
        <v>564</v>
      </c>
      <c r="B388" s="436"/>
      <c r="C388" s="213" t="s">
        <v>654</v>
      </c>
      <c r="D388" s="213" t="s">
        <v>102</v>
      </c>
      <c r="E388" s="213" t="s">
        <v>87</v>
      </c>
      <c r="F388" s="213" t="s">
        <v>87</v>
      </c>
      <c r="G388" s="197">
        <f>G389</f>
        <v>1556375</v>
      </c>
      <c r="H388" s="140"/>
    </row>
    <row r="389" spans="1:8" ht="38.25">
      <c r="A389" s="211" t="s">
        <v>279</v>
      </c>
      <c r="B389" s="211"/>
      <c r="C389" s="195" t="s">
        <v>654</v>
      </c>
      <c r="D389" s="195" t="s">
        <v>102</v>
      </c>
      <c r="E389" s="196" t="s">
        <v>557</v>
      </c>
      <c r="F389" s="195" t="s">
        <v>87</v>
      </c>
      <c r="G389" s="197">
        <f>G390</f>
        <v>1556375</v>
      </c>
      <c r="H389" s="140"/>
    </row>
    <row r="390" spans="1:8" ht="51">
      <c r="A390" s="4" t="s">
        <v>708</v>
      </c>
      <c r="B390" s="4"/>
      <c r="C390" s="195" t="s">
        <v>654</v>
      </c>
      <c r="D390" s="195" t="s">
        <v>102</v>
      </c>
      <c r="E390" s="196" t="s">
        <v>309</v>
      </c>
      <c r="F390" s="198" t="s">
        <v>87</v>
      </c>
      <c r="G390" s="197">
        <f>G391</f>
        <v>1556375</v>
      </c>
      <c r="H390" s="140"/>
    </row>
    <row r="391" spans="1:8" ht="38.25">
      <c r="A391" s="198" t="s">
        <v>637</v>
      </c>
      <c r="B391" s="198"/>
      <c r="C391" s="195" t="s">
        <v>654</v>
      </c>
      <c r="D391" s="195" t="s">
        <v>102</v>
      </c>
      <c r="E391" s="196" t="s">
        <v>639</v>
      </c>
      <c r="F391" s="195"/>
      <c r="G391" s="197">
        <f>G392</f>
        <v>1556375</v>
      </c>
      <c r="H391" s="140"/>
    </row>
    <row r="392" spans="1:8" ht="25.5">
      <c r="A392" s="198" t="s">
        <v>731</v>
      </c>
      <c r="B392" s="198"/>
      <c r="C392" s="195" t="s">
        <v>654</v>
      </c>
      <c r="D392" s="195" t="s">
        <v>102</v>
      </c>
      <c r="E392" s="196" t="s">
        <v>640</v>
      </c>
      <c r="F392" s="195"/>
      <c r="G392" s="197">
        <f>SUM(G393:G395)</f>
        <v>1556375</v>
      </c>
      <c r="H392" s="140"/>
    </row>
    <row r="393" spans="1:8" ht="63.75">
      <c r="A393" s="5" t="s">
        <v>735</v>
      </c>
      <c r="B393" s="5"/>
      <c r="C393" s="195" t="s">
        <v>654</v>
      </c>
      <c r="D393" s="195" t="s">
        <v>102</v>
      </c>
      <c r="E393" s="196" t="s">
        <v>640</v>
      </c>
      <c r="F393" s="195" t="s">
        <v>592</v>
      </c>
      <c r="G393" s="194">
        <v>1359675</v>
      </c>
      <c r="H393" s="140"/>
    </row>
    <row r="394" spans="1:8" ht="25.5">
      <c r="A394" s="5" t="s">
        <v>228</v>
      </c>
      <c r="B394" s="5"/>
      <c r="C394" s="195" t="s">
        <v>654</v>
      </c>
      <c r="D394" s="195" t="s">
        <v>102</v>
      </c>
      <c r="E394" s="196" t="s">
        <v>640</v>
      </c>
      <c r="F394" s="195" t="s">
        <v>74</v>
      </c>
      <c r="G394" s="194">
        <v>196700</v>
      </c>
      <c r="H394" s="140"/>
    </row>
    <row r="395" spans="1:8" ht="12.75" hidden="1">
      <c r="A395" s="193" t="s">
        <v>77</v>
      </c>
      <c r="B395" s="193"/>
      <c r="C395" s="191" t="s">
        <v>654</v>
      </c>
      <c r="D395" s="191" t="s">
        <v>102</v>
      </c>
      <c r="E395" s="192" t="s">
        <v>640</v>
      </c>
      <c r="F395" s="191">
        <v>800</v>
      </c>
      <c r="G395" s="190"/>
      <c r="H395" s="140"/>
    </row>
    <row r="396" spans="1:8" ht="12.75">
      <c r="A396" s="174" t="s">
        <v>566</v>
      </c>
      <c r="B396" s="174"/>
      <c r="C396" s="172" t="s">
        <v>554</v>
      </c>
      <c r="D396" s="216" t="s">
        <v>462</v>
      </c>
      <c r="E396" s="172" t="s">
        <v>87</v>
      </c>
      <c r="F396" s="172" t="s">
        <v>87</v>
      </c>
      <c r="G396" s="171">
        <f>G403+G421+G434+G397</f>
        <v>62608863</v>
      </c>
      <c r="H396" s="140"/>
    </row>
    <row r="397" spans="1:8" ht="12.75">
      <c r="A397" s="152" t="s">
        <v>965</v>
      </c>
      <c r="B397" s="232"/>
      <c r="C397" s="151" t="s">
        <v>554</v>
      </c>
      <c r="D397" s="151" t="s">
        <v>530</v>
      </c>
      <c r="E397" s="151"/>
      <c r="F397" s="151"/>
      <c r="G397" s="146">
        <f>G398</f>
        <v>826190</v>
      </c>
      <c r="H397" s="140"/>
    </row>
    <row r="398" spans="1:8" ht="25.5">
      <c r="A398" s="150" t="s">
        <v>751</v>
      </c>
      <c r="B398" s="232"/>
      <c r="C398" s="147" t="s">
        <v>554</v>
      </c>
      <c r="D398" s="147" t="s">
        <v>530</v>
      </c>
      <c r="E398" s="148" t="s">
        <v>223</v>
      </c>
      <c r="F398" s="147"/>
      <c r="G398" s="146">
        <f>G399</f>
        <v>826190</v>
      </c>
      <c r="H398" s="140"/>
    </row>
    <row r="399" spans="1:8" ht="51">
      <c r="A399" s="84" t="s">
        <v>163</v>
      </c>
      <c r="B399" s="232"/>
      <c r="C399" s="147" t="s">
        <v>554</v>
      </c>
      <c r="D399" s="147" t="s">
        <v>530</v>
      </c>
      <c r="E399" s="148" t="s">
        <v>117</v>
      </c>
      <c r="F399" s="147"/>
      <c r="G399" s="146">
        <f>G400</f>
        <v>826190</v>
      </c>
      <c r="H399" s="140"/>
    </row>
    <row r="400" spans="1:8" ht="25.5">
      <c r="A400" s="335" t="s">
        <v>966</v>
      </c>
      <c r="B400" s="232"/>
      <c r="C400" s="147" t="s">
        <v>554</v>
      </c>
      <c r="D400" s="147" t="s">
        <v>530</v>
      </c>
      <c r="E400" s="148" t="s">
        <v>967</v>
      </c>
      <c r="F400" s="147"/>
      <c r="G400" s="146">
        <f>G401</f>
        <v>826190</v>
      </c>
      <c r="H400" s="140"/>
    </row>
    <row r="401" spans="1:8" ht="25.5">
      <c r="A401" s="149" t="s">
        <v>968</v>
      </c>
      <c r="B401" s="232"/>
      <c r="C401" s="147" t="s">
        <v>554</v>
      </c>
      <c r="D401" s="147" t="s">
        <v>530</v>
      </c>
      <c r="E401" s="148" t="s">
        <v>969</v>
      </c>
      <c r="F401" s="147"/>
      <c r="G401" s="146">
        <f>G402</f>
        <v>826190</v>
      </c>
      <c r="H401" s="140"/>
    </row>
    <row r="402" spans="1:8" ht="25.5">
      <c r="A402" s="149" t="s">
        <v>81</v>
      </c>
      <c r="B402" s="232"/>
      <c r="C402" s="147" t="s">
        <v>554</v>
      </c>
      <c r="D402" s="147" t="s">
        <v>530</v>
      </c>
      <c r="E402" s="148" t="s">
        <v>969</v>
      </c>
      <c r="F402" s="147" t="s">
        <v>80</v>
      </c>
      <c r="G402" s="194">
        <v>826190</v>
      </c>
      <c r="H402" s="140"/>
    </row>
    <row r="403" spans="1:8" ht="12.75">
      <c r="A403" s="214" t="s">
        <v>567</v>
      </c>
      <c r="B403" s="214"/>
      <c r="C403" s="213" t="s">
        <v>554</v>
      </c>
      <c r="D403" s="213" t="s">
        <v>101</v>
      </c>
      <c r="E403" s="213" t="s">
        <v>87</v>
      </c>
      <c r="F403" s="213" t="s">
        <v>87</v>
      </c>
      <c r="G403" s="197">
        <f>G404</f>
        <v>7638287</v>
      </c>
      <c r="H403" s="140"/>
    </row>
    <row r="404" spans="1:8" ht="25.5">
      <c r="A404" s="211" t="s">
        <v>162</v>
      </c>
      <c r="B404" s="211"/>
      <c r="C404" s="195" t="s">
        <v>554</v>
      </c>
      <c r="D404" s="195" t="s">
        <v>101</v>
      </c>
      <c r="E404" s="196" t="s">
        <v>223</v>
      </c>
      <c r="F404" s="195" t="s">
        <v>87</v>
      </c>
      <c r="G404" s="197">
        <f>G405</f>
        <v>7638287</v>
      </c>
      <c r="H404" s="140"/>
    </row>
    <row r="405" spans="1:8" ht="51">
      <c r="A405" s="4" t="s">
        <v>163</v>
      </c>
      <c r="B405" s="4"/>
      <c r="C405" s="195" t="s">
        <v>554</v>
      </c>
      <c r="D405" s="195" t="s">
        <v>101</v>
      </c>
      <c r="E405" s="199" t="s">
        <v>117</v>
      </c>
      <c r="F405" s="198" t="s">
        <v>87</v>
      </c>
      <c r="G405" s="197">
        <f>G406+G413+G417</f>
        <v>7638287</v>
      </c>
      <c r="H405" s="140"/>
    </row>
    <row r="406" spans="1:8" ht="25.5">
      <c r="A406" s="437" t="s">
        <v>642</v>
      </c>
      <c r="B406" s="437"/>
      <c r="C406" s="195" t="s">
        <v>554</v>
      </c>
      <c r="D406" s="195" t="s">
        <v>101</v>
      </c>
      <c r="E406" s="199" t="s">
        <v>126</v>
      </c>
      <c r="F406" s="195"/>
      <c r="G406" s="197">
        <f>G407+G410</f>
        <v>7217643</v>
      </c>
      <c r="H406" s="140"/>
    </row>
    <row r="407" spans="1:8" ht="25.5">
      <c r="A407" s="198" t="s">
        <v>589</v>
      </c>
      <c r="B407" s="198"/>
      <c r="C407" s="195" t="s">
        <v>554</v>
      </c>
      <c r="D407" s="195" t="s">
        <v>101</v>
      </c>
      <c r="E407" s="196" t="s">
        <v>643</v>
      </c>
      <c r="F407" s="195" t="s">
        <v>87</v>
      </c>
      <c r="G407" s="197">
        <f>SUM(G408:G409)</f>
        <v>6840366</v>
      </c>
      <c r="H407" s="140"/>
    </row>
    <row r="408" spans="1:8" ht="25.5">
      <c r="A408" s="5" t="s">
        <v>228</v>
      </c>
      <c r="B408" s="5"/>
      <c r="C408" s="195" t="s">
        <v>554</v>
      </c>
      <c r="D408" s="195" t="s">
        <v>101</v>
      </c>
      <c r="E408" s="196" t="s">
        <v>643</v>
      </c>
      <c r="F408" s="195">
        <v>200</v>
      </c>
      <c r="G408" s="194">
        <v>71000</v>
      </c>
      <c r="H408" s="140"/>
    </row>
    <row r="409" spans="1:8" ht="25.5">
      <c r="A409" s="5" t="s">
        <v>81</v>
      </c>
      <c r="B409" s="5"/>
      <c r="C409" s="195" t="s">
        <v>554</v>
      </c>
      <c r="D409" s="195" t="s">
        <v>101</v>
      </c>
      <c r="E409" s="196" t="s">
        <v>643</v>
      </c>
      <c r="F409" s="195">
        <v>300</v>
      </c>
      <c r="G409" s="194">
        <v>6769366</v>
      </c>
      <c r="H409" s="140"/>
    </row>
    <row r="410" spans="1:8" ht="25.5">
      <c r="A410" s="198" t="s">
        <v>590</v>
      </c>
      <c r="B410" s="198"/>
      <c r="C410" s="195" t="s">
        <v>554</v>
      </c>
      <c r="D410" s="195" t="s">
        <v>101</v>
      </c>
      <c r="E410" s="196" t="s">
        <v>644</v>
      </c>
      <c r="F410" s="195" t="s">
        <v>87</v>
      </c>
      <c r="G410" s="197">
        <f>SUM(G411:G412)</f>
        <v>377277</v>
      </c>
      <c r="H410" s="140"/>
    </row>
    <row r="411" spans="1:8" ht="25.5">
      <c r="A411" s="5" t="s">
        <v>228</v>
      </c>
      <c r="B411" s="5"/>
      <c r="C411" s="195" t="s">
        <v>554</v>
      </c>
      <c r="D411" s="195" t="s">
        <v>101</v>
      </c>
      <c r="E411" s="196" t="s">
        <v>644</v>
      </c>
      <c r="F411" s="195">
        <v>200</v>
      </c>
      <c r="G411" s="194">
        <v>9500</v>
      </c>
      <c r="H411" s="140"/>
    </row>
    <row r="412" spans="1:8" ht="25.5">
      <c r="A412" s="5" t="s">
        <v>81</v>
      </c>
      <c r="B412" s="5"/>
      <c r="C412" s="195" t="s">
        <v>554</v>
      </c>
      <c r="D412" s="195" t="s">
        <v>101</v>
      </c>
      <c r="E412" s="196" t="s">
        <v>644</v>
      </c>
      <c r="F412" s="195" t="s">
        <v>80</v>
      </c>
      <c r="G412" s="194">
        <v>367777</v>
      </c>
      <c r="H412" s="140"/>
    </row>
    <row r="413" spans="1:8" ht="25.5">
      <c r="A413" s="441" t="s">
        <v>123</v>
      </c>
      <c r="B413" s="441"/>
      <c r="C413" s="213" t="s">
        <v>554</v>
      </c>
      <c r="D413" s="213" t="s">
        <v>101</v>
      </c>
      <c r="E413" s="199" t="s">
        <v>127</v>
      </c>
      <c r="F413" s="213"/>
      <c r="G413" s="197">
        <f>G414</f>
        <v>134715</v>
      </c>
      <c r="H413" s="140"/>
    </row>
    <row r="414" spans="1:8" ht="38.25">
      <c r="A414" s="198" t="s">
        <v>262</v>
      </c>
      <c r="B414" s="198"/>
      <c r="C414" s="195" t="s">
        <v>554</v>
      </c>
      <c r="D414" s="195" t="s">
        <v>101</v>
      </c>
      <c r="E414" s="196" t="s">
        <v>128</v>
      </c>
      <c r="F414" s="195" t="s">
        <v>87</v>
      </c>
      <c r="G414" s="197">
        <f>SUM(G415:G416)</f>
        <v>134715</v>
      </c>
      <c r="H414" s="140"/>
    </row>
    <row r="415" spans="1:8" ht="25.5">
      <c r="A415" s="5" t="s">
        <v>228</v>
      </c>
      <c r="B415" s="5"/>
      <c r="C415" s="195" t="s">
        <v>554</v>
      </c>
      <c r="D415" s="195" t="s">
        <v>101</v>
      </c>
      <c r="E415" s="196" t="s">
        <v>128</v>
      </c>
      <c r="F415" s="195">
        <v>200</v>
      </c>
      <c r="G415" s="197">
        <v>1900</v>
      </c>
      <c r="H415" s="140"/>
    </row>
    <row r="416" spans="1:8" ht="25.5">
      <c r="A416" s="5" t="s">
        <v>81</v>
      </c>
      <c r="B416" s="5"/>
      <c r="C416" s="195" t="s">
        <v>554</v>
      </c>
      <c r="D416" s="195" t="s">
        <v>101</v>
      </c>
      <c r="E416" s="196" t="s">
        <v>128</v>
      </c>
      <c r="F416" s="195" t="s">
        <v>80</v>
      </c>
      <c r="G416" s="194">
        <v>132815</v>
      </c>
      <c r="H416" s="140"/>
    </row>
    <row r="417" spans="1:8" ht="38.25">
      <c r="A417" s="460" t="s">
        <v>645</v>
      </c>
      <c r="B417" s="460"/>
      <c r="C417" s="213" t="s">
        <v>554</v>
      </c>
      <c r="D417" s="213" t="s">
        <v>101</v>
      </c>
      <c r="E417" s="199" t="s">
        <v>129</v>
      </c>
      <c r="F417" s="213"/>
      <c r="G417" s="197">
        <f>G418</f>
        <v>285929</v>
      </c>
      <c r="H417" s="140"/>
    </row>
    <row r="418" spans="1:8" ht="38.25">
      <c r="A418" s="198" t="s">
        <v>492</v>
      </c>
      <c r="B418" s="198"/>
      <c r="C418" s="195" t="s">
        <v>554</v>
      </c>
      <c r="D418" s="195" t="s">
        <v>101</v>
      </c>
      <c r="E418" s="196" t="s">
        <v>130</v>
      </c>
      <c r="F418" s="195" t="s">
        <v>87</v>
      </c>
      <c r="G418" s="197">
        <f>SUM(G419:G420)</f>
        <v>285929</v>
      </c>
      <c r="H418" s="140"/>
    </row>
    <row r="419" spans="1:8" ht="25.5">
      <c r="A419" s="5" t="s">
        <v>228</v>
      </c>
      <c r="B419" s="5"/>
      <c r="C419" s="195" t="s">
        <v>554</v>
      </c>
      <c r="D419" s="195" t="s">
        <v>101</v>
      </c>
      <c r="E419" s="196" t="s">
        <v>130</v>
      </c>
      <c r="F419" s="195">
        <v>200</v>
      </c>
      <c r="G419" s="194">
        <v>2000</v>
      </c>
      <c r="H419" s="140"/>
    </row>
    <row r="420" spans="1:8" ht="25.5">
      <c r="A420" s="5" t="s">
        <v>81</v>
      </c>
      <c r="B420" s="5"/>
      <c r="C420" s="195" t="s">
        <v>554</v>
      </c>
      <c r="D420" s="195" t="s">
        <v>101</v>
      </c>
      <c r="E420" s="196" t="s">
        <v>130</v>
      </c>
      <c r="F420" s="195">
        <v>300</v>
      </c>
      <c r="G420" s="194">
        <v>283929</v>
      </c>
      <c r="H420" s="140"/>
    </row>
    <row r="421" spans="1:8" ht="12.75">
      <c r="A421" s="214" t="s">
        <v>568</v>
      </c>
      <c r="B421" s="214"/>
      <c r="C421" s="213" t="s">
        <v>554</v>
      </c>
      <c r="D421" s="213" t="s">
        <v>533</v>
      </c>
      <c r="E421" s="213" t="s">
        <v>87</v>
      </c>
      <c r="F421" s="213" t="s">
        <v>87</v>
      </c>
      <c r="G421" s="197">
        <f>G422</f>
        <v>49702586</v>
      </c>
      <c r="H421" s="140"/>
    </row>
    <row r="422" spans="1:8" ht="25.5">
      <c r="A422" s="211" t="s">
        <v>162</v>
      </c>
      <c r="B422" s="211"/>
      <c r="C422" s="195" t="s">
        <v>554</v>
      </c>
      <c r="D422" s="195" t="s">
        <v>533</v>
      </c>
      <c r="E422" s="196" t="s">
        <v>223</v>
      </c>
      <c r="F422" s="195"/>
      <c r="G422" s="197">
        <f>G423</f>
        <v>49702586</v>
      </c>
      <c r="H422" s="140"/>
    </row>
    <row r="423" spans="1:8" ht="63.75">
      <c r="A423" s="4" t="s">
        <v>240</v>
      </c>
      <c r="B423" s="4"/>
      <c r="C423" s="195" t="s">
        <v>554</v>
      </c>
      <c r="D423" s="195" t="s">
        <v>533</v>
      </c>
      <c r="E423" s="199" t="s">
        <v>7</v>
      </c>
      <c r="F423" s="198" t="s">
        <v>87</v>
      </c>
      <c r="G423" s="197">
        <f>G424+G431</f>
        <v>49702586</v>
      </c>
      <c r="H423" s="140"/>
    </row>
    <row r="424" spans="1:8" ht="38.25">
      <c r="A424" s="437" t="s">
        <v>757</v>
      </c>
      <c r="B424" s="437"/>
      <c r="C424" s="195" t="s">
        <v>554</v>
      </c>
      <c r="D424" s="195" t="s">
        <v>533</v>
      </c>
      <c r="E424" s="195" t="s">
        <v>124</v>
      </c>
      <c r="F424" s="195"/>
      <c r="G424" s="197">
        <f>G425+G427+G429</f>
        <v>43630977</v>
      </c>
      <c r="H424" s="140"/>
    </row>
    <row r="425" spans="1:8" ht="12.75">
      <c r="A425" s="441" t="s">
        <v>555</v>
      </c>
      <c r="B425" s="441"/>
      <c r="C425" s="195" t="s">
        <v>554</v>
      </c>
      <c r="D425" s="195" t="s">
        <v>533</v>
      </c>
      <c r="E425" s="196" t="s">
        <v>758</v>
      </c>
      <c r="F425" s="195"/>
      <c r="G425" s="197">
        <f>G426</f>
        <v>1839382</v>
      </c>
      <c r="H425" s="140"/>
    </row>
    <row r="426" spans="1:8" ht="25.5">
      <c r="A426" s="5" t="s">
        <v>81</v>
      </c>
      <c r="B426" s="5"/>
      <c r="C426" s="195" t="s">
        <v>554</v>
      </c>
      <c r="D426" s="195" t="s">
        <v>533</v>
      </c>
      <c r="E426" s="196" t="s">
        <v>758</v>
      </c>
      <c r="F426" s="195">
        <v>300</v>
      </c>
      <c r="G426" s="194">
        <v>1839382</v>
      </c>
      <c r="H426" s="140"/>
    </row>
    <row r="427" spans="1:8" ht="25.5">
      <c r="A427" s="461" t="s">
        <v>510</v>
      </c>
      <c r="B427" s="5"/>
      <c r="C427" s="195" t="s">
        <v>554</v>
      </c>
      <c r="D427" s="195" t="s">
        <v>533</v>
      </c>
      <c r="E427" s="196" t="s">
        <v>511</v>
      </c>
      <c r="F427" s="195"/>
      <c r="G427" s="194">
        <f>G428</f>
        <v>41186977</v>
      </c>
      <c r="H427" s="140"/>
    </row>
    <row r="428" spans="1:8" ht="25.5">
      <c r="A428" s="5" t="s">
        <v>81</v>
      </c>
      <c r="B428" s="5"/>
      <c r="C428" s="195" t="s">
        <v>554</v>
      </c>
      <c r="D428" s="195" t="s">
        <v>533</v>
      </c>
      <c r="E428" s="196" t="s">
        <v>511</v>
      </c>
      <c r="F428" s="195">
        <v>300</v>
      </c>
      <c r="G428" s="194">
        <v>41186977</v>
      </c>
      <c r="H428" s="140"/>
    </row>
    <row r="429" spans="1:8" ht="38.25">
      <c r="A429" s="461" t="s">
        <v>512</v>
      </c>
      <c r="B429" s="5"/>
      <c r="C429" s="195" t="s">
        <v>554</v>
      </c>
      <c r="D429" s="195" t="s">
        <v>533</v>
      </c>
      <c r="E429" s="196" t="s">
        <v>513</v>
      </c>
      <c r="F429" s="195"/>
      <c r="G429" s="194">
        <f>G430</f>
        <v>604618</v>
      </c>
      <c r="H429" s="140"/>
    </row>
    <row r="430" spans="1:8" ht="25.5">
      <c r="A430" s="5" t="s">
        <v>228</v>
      </c>
      <c r="B430" s="5"/>
      <c r="C430" s="195" t="s">
        <v>554</v>
      </c>
      <c r="D430" s="195" t="s">
        <v>533</v>
      </c>
      <c r="E430" s="196" t="s">
        <v>513</v>
      </c>
      <c r="F430" s="195">
        <v>200</v>
      </c>
      <c r="G430" s="194">
        <v>604618</v>
      </c>
      <c r="H430" s="140"/>
    </row>
    <row r="431" spans="1:8" ht="51">
      <c r="A431" s="437" t="s">
        <v>125</v>
      </c>
      <c r="B431" s="437"/>
      <c r="C431" s="195" t="s">
        <v>554</v>
      </c>
      <c r="D431" s="195" t="s">
        <v>533</v>
      </c>
      <c r="E431" s="199" t="s">
        <v>759</v>
      </c>
      <c r="F431" s="198"/>
      <c r="G431" s="197">
        <f>G432</f>
        <v>6071609</v>
      </c>
      <c r="H431" s="140"/>
    </row>
    <row r="432" spans="1:8" ht="38.25">
      <c r="A432" s="198" t="s">
        <v>591</v>
      </c>
      <c r="B432" s="198"/>
      <c r="C432" s="195" t="s">
        <v>554</v>
      </c>
      <c r="D432" s="195" t="s">
        <v>533</v>
      </c>
      <c r="E432" s="196" t="s">
        <v>760</v>
      </c>
      <c r="F432" s="195" t="s">
        <v>87</v>
      </c>
      <c r="G432" s="197">
        <f>SUM(G433:G433)</f>
        <v>6071609</v>
      </c>
      <c r="H432" s="140"/>
    </row>
    <row r="433" spans="1:8" ht="25.5">
      <c r="A433" s="5" t="s">
        <v>81</v>
      </c>
      <c r="B433" s="5"/>
      <c r="C433" s="195" t="s">
        <v>554</v>
      </c>
      <c r="D433" s="195" t="s">
        <v>533</v>
      </c>
      <c r="E433" s="196" t="s">
        <v>760</v>
      </c>
      <c r="F433" s="195">
        <v>300</v>
      </c>
      <c r="G433" s="194">
        <v>6071609</v>
      </c>
      <c r="H433" s="140"/>
    </row>
    <row r="434" spans="1:8" ht="12.75">
      <c r="A434" s="214" t="s">
        <v>573</v>
      </c>
      <c r="B434" s="214"/>
      <c r="C434" s="213" t="s">
        <v>554</v>
      </c>
      <c r="D434" s="213" t="s">
        <v>534</v>
      </c>
      <c r="E434" s="213" t="s">
        <v>87</v>
      </c>
      <c r="F434" s="213" t="s">
        <v>87</v>
      </c>
      <c r="G434" s="197">
        <f>G435</f>
        <v>4441800</v>
      </c>
      <c r="H434" s="140"/>
    </row>
    <row r="435" spans="1:8" ht="25.5">
      <c r="A435" s="211" t="s">
        <v>162</v>
      </c>
      <c r="B435" s="211"/>
      <c r="C435" s="195" t="s">
        <v>554</v>
      </c>
      <c r="D435" s="195" t="s">
        <v>534</v>
      </c>
      <c r="E435" s="196" t="s">
        <v>223</v>
      </c>
      <c r="F435" s="195" t="s">
        <v>87</v>
      </c>
      <c r="G435" s="197">
        <f>G436+G446</f>
        <v>4441800</v>
      </c>
      <c r="H435" s="140"/>
    </row>
    <row r="436" spans="1:8" ht="51">
      <c r="A436" s="4" t="s">
        <v>380</v>
      </c>
      <c r="B436" s="4"/>
      <c r="C436" s="195" t="s">
        <v>554</v>
      </c>
      <c r="D436" s="195" t="s">
        <v>534</v>
      </c>
      <c r="E436" s="199" t="s">
        <v>6</v>
      </c>
      <c r="F436" s="198" t="s">
        <v>87</v>
      </c>
      <c r="G436" s="197">
        <f>G437+G442</f>
        <v>3437700</v>
      </c>
      <c r="H436" s="140"/>
    </row>
    <row r="437" spans="1:8" ht="51">
      <c r="A437" s="459" t="s">
        <v>761</v>
      </c>
      <c r="B437" s="459"/>
      <c r="C437" s="195" t="s">
        <v>554</v>
      </c>
      <c r="D437" s="195" t="s">
        <v>534</v>
      </c>
      <c r="E437" s="199" t="s">
        <v>762</v>
      </c>
      <c r="F437" s="198"/>
      <c r="G437" s="197">
        <f>G438</f>
        <v>2342900</v>
      </c>
      <c r="H437" s="140"/>
    </row>
    <row r="438" spans="1:8" ht="38.25">
      <c r="A438" s="198" t="s">
        <v>390</v>
      </c>
      <c r="B438" s="198"/>
      <c r="C438" s="195" t="s">
        <v>554</v>
      </c>
      <c r="D438" s="195" t="s">
        <v>534</v>
      </c>
      <c r="E438" s="199" t="s">
        <v>763</v>
      </c>
      <c r="F438" s="195" t="s">
        <v>87</v>
      </c>
      <c r="G438" s="197">
        <f>SUM(G439:G441)</f>
        <v>2342900</v>
      </c>
      <c r="H438" s="140"/>
    </row>
    <row r="439" spans="1:8" ht="63.75">
      <c r="A439" s="5" t="s">
        <v>735</v>
      </c>
      <c r="B439" s="5"/>
      <c r="C439" s="195" t="s">
        <v>554</v>
      </c>
      <c r="D439" s="195" t="s">
        <v>534</v>
      </c>
      <c r="E439" s="199" t="s">
        <v>763</v>
      </c>
      <c r="F439" s="195">
        <v>100</v>
      </c>
      <c r="G439" s="194">
        <v>2232400</v>
      </c>
      <c r="H439" s="140"/>
    </row>
    <row r="440" spans="1:8" ht="25.5">
      <c r="A440" s="5" t="s">
        <v>228</v>
      </c>
      <c r="B440" s="5"/>
      <c r="C440" s="195" t="s">
        <v>554</v>
      </c>
      <c r="D440" s="195" t="s">
        <v>534</v>
      </c>
      <c r="E440" s="199" t="s">
        <v>763</v>
      </c>
      <c r="F440" s="198">
        <v>200</v>
      </c>
      <c r="G440" s="194">
        <v>110500</v>
      </c>
      <c r="H440" s="140"/>
    </row>
    <row r="441" spans="1:8" ht="12.75">
      <c r="A441" s="5" t="s">
        <v>77</v>
      </c>
      <c r="B441" s="5"/>
      <c r="C441" s="195" t="s">
        <v>554</v>
      </c>
      <c r="D441" s="195" t="s">
        <v>534</v>
      </c>
      <c r="E441" s="199" t="s">
        <v>763</v>
      </c>
      <c r="F441" s="198">
        <v>800</v>
      </c>
      <c r="G441" s="194">
        <v>0</v>
      </c>
      <c r="H441" s="140"/>
    </row>
    <row r="442" spans="1:8" ht="63.75">
      <c r="A442" s="159" t="s">
        <v>710</v>
      </c>
      <c r="B442" s="5"/>
      <c r="C442" s="195" t="s">
        <v>554</v>
      </c>
      <c r="D442" s="195" t="s">
        <v>534</v>
      </c>
      <c r="E442" s="196" t="s">
        <v>333</v>
      </c>
      <c r="F442" s="198"/>
      <c r="G442" s="194">
        <f>G443+G444+G445</f>
        <v>1094800</v>
      </c>
      <c r="H442" s="140"/>
    </row>
    <row r="443" spans="1:8" ht="63.75">
      <c r="A443" s="5" t="s">
        <v>735</v>
      </c>
      <c r="B443" s="5"/>
      <c r="C443" s="195" t="s">
        <v>554</v>
      </c>
      <c r="D443" s="195" t="s">
        <v>534</v>
      </c>
      <c r="E443" s="196" t="s">
        <v>333</v>
      </c>
      <c r="F443" s="198">
        <v>100</v>
      </c>
      <c r="G443" s="194">
        <v>834784.98</v>
      </c>
      <c r="H443" s="140"/>
    </row>
    <row r="444" spans="1:8" ht="25.5">
      <c r="A444" s="5" t="s">
        <v>228</v>
      </c>
      <c r="B444" s="5"/>
      <c r="C444" s="195" t="s">
        <v>554</v>
      </c>
      <c r="D444" s="195" t="s">
        <v>534</v>
      </c>
      <c r="E444" s="196" t="s">
        <v>333</v>
      </c>
      <c r="F444" s="198">
        <v>200</v>
      </c>
      <c r="G444" s="194">
        <v>260015.02</v>
      </c>
      <c r="H444" s="140"/>
    </row>
    <row r="445" spans="1:8" ht="12.75" hidden="1">
      <c r="A445" s="193" t="s">
        <v>77</v>
      </c>
      <c r="B445" s="193"/>
      <c r="C445" s="191" t="s">
        <v>554</v>
      </c>
      <c r="D445" s="191" t="s">
        <v>534</v>
      </c>
      <c r="E445" s="192" t="s">
        <v>333</v>
      </c>
      <c r="F445" s="217">
        <v>800</v>
      </c>
      <c r="G445" s="190">
        <v>0</v>
      </c>
      <c r="H445" s="140"/>
    </row>
    <row r="446" spans="1:8" ht="63.75">
      <c r="A446" s="4" t="s">
        <v>172</v>
      </c>
      <c r="B446" s="4"/>
      <c r="C446" s="195" t="s">
        <v>554</v>
      </c>
      <c r="D446" s="195" t="s">
        <v>534</v>
      </c>
      <c r="E446" s="195" t="s">
        <v>7</v>
      </c>
      <c r="F446" s="198" t="s">
        <v>87</v>
      </c>
      <c r="G446" s="197">
        <f>G447</f>
        <v>1004100</v>
      </c>
      <c r="H446" s="140"/>
    </row>
    <row r="447" spans="1:8" ht="51">
      <c r="A447" s="5" t="s">
        <v>588</v>
      </c>
      <c r="B447" s="5"/>
      <c r="C447" s="195" t="s">
        <v>554</v>
      </c>
      <c r="D447" s="195" t="s">
        <v>534</v>
      </c>
      <c r="E447" s="195" t="s">
        <v>595</v>
      </c>
      <c r="F447" s="198"/>
      <c r="G447" s="197">
        <f>G448</f>
        <v>1004100</v>
      </c>
      <c r="H447" s="140"/>
    </row>
    <row r="448" spans="1:8" ht="51">
      <c r="A448" s="198" t="s">
        <v>282</v>
      </c>
      <c r="B448" s="198"/>
      <c r="C448" s="195" t="s">
        <v>554</v>
      </c>
      <c r="D448" s="195" t="s">
        <v>534</v>
      </c>
      <c r="E448" s="196" t="s">
        <v>452</v>
      </c>
      <c r="F448" s="195"/>
      <c r="G448" s="197">
        <f>SUM(G449:G451)</f>
        <v>1004100</v>
      </c>
      <c r="H448" s="140"/>
    </row>
    <row r="449" spans="1:8" ht="63.75">
      <c r="A449" s="5" t="s">
        <v>735</v>
      </c>
      <c r="B449" s="5"/>
      <c r="C449" s="195" t="s">
        <v>554</v>
      </c>
      <c r="D449" s="195" t="s">
        <v>534</v>
      </c>
      <c r="E449" s="196" t="s">
        <v>452</v>
      </c>
      <c r="F449" s="195">
        <v>100</v>
      </c>
      <c r="G449" s="194">
        <v>941141.1</v>
      </c>
      <c r="H449" s="140"/>
    </row>
    <row r="450" spans="1:8" ht="25.5">
      <c r="A450" s="5" t="s">
        <v>228</v>
      </c>
      <c r="B450" s="5"/>
      <c r="C450" s="195" t="s">
        <v>554</v>
      </c>
      <c r="D450" s="195" t="s">
        <v>534</v>
      </c>
      <c r="E450" s="196" t="s">
        <v>452</v>
      </c>
      <c r="F450" s="195" t="s">
        <v>74</v>
      </c>
      <c r="G450" s="194">
        <v>62558.9</v>
      </c>
      <c r="H450" s="140"/>
    </row>
    <row r="451" spans="1:8" ht="12.75">
      <c r="A451" s="5" t="s">
        <v>77</v>
      </c>
      <c r="B451" s="5"/>
      <c r="C451" s="195" t="s">
        <v>554</v>
      </c>
      <c r="D451" s="195" t="s">
        <v>534</v>
      </c>
      <c r="E451" s="196" t="s">
        <v>452</v>
      </c>
      <c r="F451" s="195">
        <v>800</v>
      </c>
      <c r="G451" s="194">
        <v>400</v>
      </c>
      <c r="H451" s="140"/>
    </row>
    <row r="452" spans="1:7" ht="25.5">
      <c r="A452" s="174" t="s">
        <v>75</v>
      </c>
      <c r="B452" s="174"/>
      <c r="C452" s="172" t="s">
        <v>100</v>
      </c>
      <c r="D452" s="216" t="s">
        <v>462</v>
      </c>
      <c r="E452" s="172" t="s">
        <v>87</v>
      </c>
      <c r="F452" s="172" t="s">
        <v>87</v>
      </c>
      <c r="G452" s="215">
        <f aca="true" t="shared" si="1" ref="G452:G457">G453</f>
        <v>33000</v>
      </c>
    </row>
    <row r="453" spans="1:7" ht="25.5">
      <c r="A453" s="214" t="s">
        <v>76</v>
      </c>
      <c r="B453" s="214"/>
      <c r="C453" s="213" t="s">
        <v>100</v>
      </c>
      <c r="D453" s="213" t="s">
        <v>530</v>
      </c>
      <c r="E453" s="212" t="s">
        <v>87</v>
      </c>
      <c r="F453" s="212" t="s">
        <v>87</v>
      </c>
      <c r="G453" s="197">
        <f t="shared" si="1"/>
        <v>33000</v>
      </c>
    </row>
    <row r="454" spans="1:7" ht="25.5">
      <c r="A454" s="211" t="s">
        <v>171</v>
      </c>
      <c r="B454" s="211"/>
      <c r="C454" s="195" t="s">
        <v>100</v>
      </c>
      <c r="D454" s="195" t="s">
        <v>530</v>
      </c>
      <c r="E454" s="196" t="s">
        <v>693</v>
      </c>
      <c r="F454" s="209" t="s">
        <v>87</v>
      </c>
      <c r="G454" s="197">
        <f t="shared" si="1"/>
        <v>33000</v>
      </c>
    </row>
    <row r="455" spans="1:7" ht="51">
      <c r="A455" s="4" t="s">
        <v>391</v>
      </c>
      <c r="B455" s="4"/>
      <c r="C455" s="195" t="s">
        <v>100</v>
      </c>
      <c r="D455" s="195" t="s">
        <v>530</v>
      </c>
      <c r="E455" s="196" t="s">
        <v>119</v>
      </c>
      <c r="F455" s="210" t="s">
        <v>87</v>
      </c>
      <c r="G455" s="197">
        <f t="shared" si="1"/>
        <v>33000</v>
      </c>
    </row>
    <row r="456" spans="1:7" ht="51">
      <c r="A456" s="441" t="s">
        <v>118</v>
      </c>
      <c r="B456" s="441"/>
      <c r="C456" s="195" t="s">
        <v>100</v>
      </c>
      <c r="D456" s="195" t="s">
        <v>530</v>
      </c>
      <c r="E456" s="196" t="s">
        <v>120</v>
      </c>
      <c r="F456" s="210"/>
      <c r="G456" s="197">
        <f t="shared" si="1"/>
        <v>33000</v>
      </c>
    </row>
    <row r="457" spans="1:7" ht="12.75">
      <c r="A457" s="439" t="s">
        <v>121</v>
      </c>
      <c r="B457" s="439"/>
      <c r="C457" s="195" t="s">
        <v>100</v>
      </c>
      <c r="D457" s="195" t="s">
        <v>530</v>
      </c>
      <c r="E457" s="196" t="s">
        <v>122</v>
      </c>
      <c r="F457" s="209" t="s">
        <v>87</v>
      </c>
      <c r="G457" s="197">
        <f t="shared" si="1"/>
        <v>33000</v>
      </c>
    </row>
    <row r="458" spans="1:7" ht="25.5">
      <c r="A458" s="193" t="s">
        <v>493</v>
      </c>
      <c r="B458" s="193"/>
      <c r="C458" s="191" t="s">
        <v>100</v>
      </c>
      <c r="D458" s="191" t="s">
        <v>530</v>
      </c>
      <c r="E458" s="192" t="s">
        <v>122</v>
      </c>
      <c r="F458" s="191" t="s">
        <v>82</v>
      </c>
      <c r="G458" s="190">
        <f>33000</f>
        <v>33000</v>
      </c>
    </row>
    <row r="459" spans="1:7" ht="12.75">
      <c r="A459" s="208" t="s">
        <v>546</v>
      </c>
      <c r="B459" s="207" t="s">
        <v>545</v>
      </c>
      <c r="C459" s="318"/>
      <c r="D459" s="318"/>
      <c r="E459" s="319"/>
      <c r="F459" s="206"/>
      <c r="G459" s="205">
        <f>G460</f>
        <v>1170386</v>
      </c>
    </row>
    <row r="460" spans="1:7" ht="25.5">
      <c r="A460" s="204" t="s">
        <v>169</v>
      </c>
      <c r="B460" s="204"/>
      <c r="C460" s="203" t="s">
        <v>530</v>
      </c>
      <c r="D460" s="203" t="s">
        <v>534</v>
      </c>
      <c r="E460" s="202" t="s">
        <v>696</v>
      </c>
      <c r="F460" s="201" t="s">
        <v>87</v>
      </c>
      <c r="G460" s="200">
        <f>G461+G464</f>
        <v>1170386</v>
      </c>
    </row>
    <row r="461" spans="1:7" ht="25.5">
      <c r="A461" s="4" t="s">
        <v>170</v>
      </c>
      <c r="B461" s="4"/>
      <c r="C461" s="195" t="s">
        <v>530</v>
      </c>
      <c r="D461" s="195" t="s">
        <v>534</v>
      </c>
      <c r="E461" s="199" t="s">
        <v>697</v>
      </c>
      <c r="F461" s="195" t="s">
        <v>87</v>
      </c>
      <c r="G461" s="197">
        <f>G462</f>
        <v>704687</v>
      </c>
    </row>
    <row r="462" spans="1:7" ht="25.5">
      <c r="A462" s="198" t="s">
        <v>731</v>
      </c>
      <c r="B462" s="198"/>
      <c r="C462" s="195" t="s">
        <v>530</v>
      </c>
      <c r="D462" s="195" t="s">
        <v>534</v>
      </c>
      <c r="E462" s="196" t="s">
        <v>698</v>
      </c>
      <c r="F462" s="195"/>
      <c r="G462" s="197">
        <f>SUM(G463:G463)</f>
        <v>704687</v>
      </c>
    </row>
    <row r="463" spans="1:7" ht="63.75">
      <c r="A463" s="5" t="s">
        <v>735</v>
      </c>
      <c r="B463" s="5"/>
      <c r="C463" s="195" t="s">
        <v>530</v>
      </c>
      <c r="D463" s="195" t="s">
        <v>534</v>
      </c>
      <c r="E463" s="196" t="s">
        <v>698</v>
      </c>
      <c r="F463" s="195">
        <v>100</v>
      </c>
      <c r="G463" s="197">
        <v>704687</v>
      </c>
    </row>
    <row r="464" spans="1:7" ht="25.5">
      <c r="A464" s="5" t="s">
        <v>40</v>
      </c>
      <c r="B464" s="5"/>
      <c r="C464" s="195" t="s">
        <v>530</v>
      </c>
      <c r="D464" s="195" t="s">
        <v>534</v>
      </c>
      <c r="E464" s="199" t="s">
        <v>39</v>
      </c>
      <c r="F464" s="195"/>
      <c r="G464" s="197">
        <f>G465</f>
        <v>465699</v>
      </c>
    </row>
    <row r="465" spans="1:7" ht="25.5">
      <c r="A465" s="198" t="s">
        <v>731</v>
      </c>
      <c r="B465" s="198"/>
      <c r="C465" s="195" t="s">
        <v>530</v>
      </c>
      <c r="D465" s="195" t="s">
        <v>534</v>
      </c>
      <c r="E465" s="196" t="s">
        <v>38</v>
      </c>
      <c r="F465" s="195"/>
      <c r="G465" s="197">
        <f>SUM(G466:G467)</f>
        <v>465699</v>
      </c>
    </row>
    <row r="466" spans="1:7" ht="63.75">
      <c r="A466" s="5" t="s">
        <v>735</v>
      </c>
      <c r="B466" s="5"/>
      <c r="C466" s="195" t="s">
        <v>530</v>
      </c>
      <c r="D466" s="195" t="s">
        <v>534</v>
      </c>
      <c r="E466" s="196" t="s">
        <v>38</v>
      </c>
      <c r="F466" s="195">
        <v>100</v>
      </c>
      <c r="G466" s="194">
        <v>445699</v>
      </c>
    </row>
    <row r="467" spans="1:7" ht="25.5">
      <c r="A467" s="193" t="s">
        <v>228</v>
      </c>
      <c r="B467" s="193"/>
      <c r="C467" s="191" t="s">
        <v>530</v>
      </c>
      <c r="D467" s="191" t="s">
        <v>534</v>
      </c>
      <c r="E467" s="192" t="s">
        <v>38</v>
      </c>
      <c r="F467" s="191">
        <v>200</v>
      </c>
      <c r="G467" s="190">
        <v>20000</v>
      </c>
    </row>
  </sheetData>
  <sheetProtection/>
  <mergeCells count="1">
    <mergeCell ref="B3:G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81"/>
  <sheetViews>
    <sheetView showGridLines="0" zoomScaleSheetLayoutView="100" zoomScalePageLayoutView="0" workbookViewId="0" topLeftCell="A373">
      <selection activeCell="A4" sqref="A4"/>
    </sheetView>
  </sheetViews>
  <sheetFormatPr defaultColWidth="9.140625" defaultRowHeight="12.75"/>
  <cols>
    <col min="1" max="1" width="34.28125" style="102" customWidth="1"/>
    <col min="2" max="2" width="5.140625" style="102" customWidth="1"/>
    <col min="3" max="4" width="3.8515625" style="102" customWidth="1"/>
    <col min="5" max="5" width="14.7109375" style="102" customWidth="1"/>
    <col min="6" max="6" width="4.57421875" style="102" customWidth="1"/>
    <col min="7" max="7" width="14.7109375" style="579" customWidth="1"/>
    <col min="8" max="8" width="13.7109375" style="579" customWidth="1"/>
    <col min="9" max="16384" width="9.140625" style="125" customWidth="1"/>
  </cols>
  <sheetData>
    <row r="1" spans="1:8" ht="12.75">
      <c r="A1" s="100"/>
      <c r="B1" s="122"/>
      <c r="C1" s="123"/>
      <c r="D1" s="123"/>
      <c r="E1" s="123"/>
      <c r="F1" s="123"/>
      <c r="G1" s="562"/>
      <c r="H1" s="562" t="s">
        <v>569</v>
      </c>
    </row>
    <row r="2" spans="1:8" ht="12.75">
      <c r="A2" s="100"/>
      <c r="B2" s="122"/>
      <c r="C2" s="123"/>
      <c r="D2" s="123"/>
      <c r="E2" s="123"/>
      <c r="F2" s="123"/>
      <c r="G2" s="563"/>
      <c r="H2" s="563" t="s">
        <v>263</v>
      </c>
    </row>
    <row r="3" spans="1:9" ht="12.75">
      <c r="A3" s="496" t="s">
        <v>1017</v>
      </c>
      <c r="B3" s="496"/>
      <c r="C3" s="496"/>
      <c r="D3" s="496"/>
      <c r="E3" s="496"/>
      <c r="F3" s="496"/>
      <c r="G3" s="496"/>
      <c r="H3" s="496"/>
      <c r="I3" s="462"/>
    </row>
    <row r="4" spans="1:8" ht="12.75">
      <c r="A4" s="103"/>
      <c r="B4" s="124"/>
      <c r="C4" s="123"/>
      <c r="D4" s="123"/>
      <c r="E4" s="123"/>
      <c r="F4" s="123"/>
      <c r="G4" s="581"/>
      <c r="H4" s="581"/>
    </row>
    <row r="5" spans="1:8" ht="12.75">
      <c r="A5" s="495" t="s">
        <v>923</v>
      </c>
      <c r="B5" s="495"/>
      <c r="C5" s="495"/>
      <c r="D5" s="495"/>
      <c r="E5" s="495"/>
      <c r="F5" s="495"/>
      <c r="G5" s="495"/>
      <c r="H5" s="495"/>
    </row>
    <row r="6" spans="1:8" ht="12.75">
      <c r="A6" s="182"/>
      <c r="B6" s="245"/>
      <c r="C6" s="245"/>
      <c r="D6" s="245"/>
      <c r="E6" s="245"/>
      <c r="F6" s="245"/>
      <c r="G6" s="565"/>
      <c r="H6" s="565" t="s">
        <v>88</v>
      </c>
    </row>
    <row r="7" spans="1:8" ht="22.5">
      <c r="A7" s="244" t="s">
        <v>84</v>
      </c>
      <c r="B7" s="243" t="s">
        <v>106</v>
      </c>
      <c r="C7" s="243" t="s">
        <v>523</v>
      </c>
      <c r="D7" s="243" t="s">
        <v>524</v>
      </c>
      <c r="E7" s="243" t="s">
        <v>525</v>
      </c>
      <c r="F7" s="243" t="s">
        <v>526</v>
      </c>
      <c r="G7" s="566" t="s">
        <v>597</v>
      </c>
      <c r="H7" s="566" t="s">
        <v>924</v>
      </c>
    </row>
    <row r="8" spans="1:8" ht="12.75">
      <c r="A8" s="179" t="s">
        <v>72</v>
      </c>
      <c r="B8" s="179"/>
      <c r="C8" s="179" t="s">
        <v>85</v>
      </c>
      <c r="D8" s="179" t="s">
        <v>73</v>
      </c>
      <c r="E8" s="179" t="s">
        <v>527</v>
      </c>
      <c r="F8" s="179" t="s">
        <v>528</v>
      </c>
      <c r="G8" s="567" t="s">
        <v>529</v>
      </c>
      <c r="H8" s="567" t="s">
        <v>529</v>
      </c>
    </row>
    <row r="9" spans="1:8" ht="12.75">
      <c r="A9" s="177" t="s">
        <v>89</v>
      </c>
      <c r="B9" s="177"/>
      <c r="C9" s="176" t="s">
        <v>87</v>
      </c>
      <c r="D9" s="176" t="s">
        <v>87</v>
      </c>
      <c r="E9" s="176" t="s">
        <v>87</v>
      </c>
      <c r="F9" s="176" t="s">
        <v>87</v>
      </c>
      <c r="G9" s="569">
        <f>G10+G289+G372+G381</f>
        <v>483356646</v>
      </c>
      <c r="H9" s="569">
        <f>H10+H289+H372+H381</f>
        <v>444041858.38</v>
      </c>
    </row>
    <row r="10" spans="1:8" ht="12.75">
      <c r="A10" s="208" t="s">
        <v>324</v>
      </c>
      <c r="B10" s="240" t="s">
        <v>574</v>
      </c>
      <c r="C10" s="128"/>
      <c r="D10" s="128"/>
      <c r="E10" s="128"/>
      <c r="F10" s="128"/>
      <c r="G10" s="582">
        <f>G11+G68+G74+G83+G126+G152+G230+G245+G251+G277</f>
        <v>406825354</v>
      </c>
      <c r="H10" s="582">
        <f>H11+H68+H74+H83+H126+H152+H230+H245+H251+H277</f>
        <v>359345249.38</v>
      </c>
    </row>
    <row r="11" spans="1:8" ht="12.75">
      <c r="A11" s="174" t="s">
        <v>593</v>
      </c>
      <c r="B11" s="174"/>
      <c r="C11" s="172" t="s">
        <v>530</v>
      </c>
      <c r="D11" s="173" t="s">
        <v>462</v>
      </c>
      <c r="E11" s="172" t="s">
        <v>87</v>
      </c>
      <c r="F11" s="172" t="s">
        <v>87</v>
      </c>
      <c r="G11" s="570">
        <f>G12+G17+G24+G29</f>
        <v>38213065</v>
      </c>
      <c r="H11" s="570">
        <f>H12+H17+H24+H29</f>
        <v>36201356</v>
      </c>
    </row>
    <row r="12" spans="1:8" ht="51">
      <c r="A12" s="214" t="s">
        <v>531</v>
      </c>
      <c r="B12" s="214"/>
      <c r="C12" s="213" t="s">
        <v>530</v>
      </c>
      <c r="D12" s="213" t="s">
        <v>532</v>
      </c>
      <c r="E12" s="213" t="s">
        <v>87</v>
      </c>
      <c r="F12" s="213" t="s">
        <v>87</v>
      </c>
      <c r="G12" s="571">
        <f aca="true" t="shared" si="0" ref="G12:H15">G13</f>
        <v>1366926</v>
      </c>
      <c r="H12" s="571">
        <f t="shared" si="0"/>
        <v>1283191</v>
      </c>
    </row>
    <row r="13" spans="1:8" ht="25.5">
      <c r="A13" s="5" t="s">
        <v>583</v>
      </c>
      <c r="B13" s="5"/>
      <c r="C13" s="195" t="s">
        <v>530</v>
      </c>
      <c r="D13" s="195" t="s">
        <v>532</v>
      </c>
      <c r="E13" s="195" t="s">
        <v>686</v>
      </c>
      <c r="F13" s="195" t="s">
        <v>87</v>
      </c>
      <c r="G13" s="571">
        <f t="shared" si="0"/>
        <v>1366926</v>
      </c>
      <c r="H13" s="571">
        <f t="shared" si="0"/>
        <v>1283191</v>
      </c>
    </row>
    <row r="14" spans="1:8" ht="12.75">
      <c r="A14" s="5" t="s">
        <v>357</v>
      </c>
      <c r="B14" s="5"/>
      <c r="C14" s="195" t="s">
        <v>530</v>
      </c>
      <c r="D14" s="195" t="s">
        <v>532</v>
      </c>
      <c r="E14" s="195" t="s">
        <v>687</v>
      </c>
      <c r="F14" s="198" t="s">
        <v>87</v>
      </c>
      <c r="G14" s="571">
        <f t="shared" si="0"/>
        <v>1366926</v>
      </c>
      <c r="H14" s="571">
        <f t="shared" si="0"/>
        <v>1283191</v>
      </c>
    </row>
    <row r="15" spans="1:8" ht="38.25">
      <c r="A15" s="198" t="s">
        <v>731</v>
      </c>
      <c r="B15" s="198"/>
      <c r="C15" s="195" t="s">
        <v>530</v>
      </c>
      <c r="D15" s="195" t="s">
        <v>532</v>
      </c>
      <c r="E15" s="195" t="s">
        <v>688</v>
      </c>
      <c r="F15" s="195" t="s">
        <v>87</v>
      </c>
      <c r="G15" s="571">
        <f t="shared" si="0"/>
        <v>1366926</v>
      </c>
      <c r="H15" s="571">
        <f t="shared" si="0"/>
        <v>1283191</v>
      </c>
    </row>
    <row r="16" spans="1:8" ht="89.25">
      <c r="A16" s="5" t="s">
        <v>735</v>
      </c>
      <c r="B16" s="5"/>
      <c r="C16" s="195" t="s">
        <v>530</v>
      </c>
      <c r="D16" s="195" t="s">
        <v>532</v>
      </c>
      <c r="E16" s="195" t="s">
        <v>688</v>
      </c>
      <c r="F16" s="195" t="s">
        <v>592</v>
      </c>
      <c r="G16" s="488">
        <v>1366926</v>
      </c>
      <c r="H16" s="488">
        <v>1283191</v>
      </c>
    </row>
    <row r="17" spans="1:8" ht="76.5">
      <c r="A17" s="214" t="s">
        <v>721</v>
      </c>
      <c r="B17" s="214"/>
      <c r="C17" s="213" t="s">
        <v>530</v>
      </c>
      <c r="D17" s="213" t="s">
        <v>533</v>
      </c>
      <c r="E17" s="213" t="s">
        <v>87</v>
      </c>
      <c r="F17" s="213" t="s">
        <v>87</v>
      </c>
      <c r="G17" s="571">
        <f aca="true" t="shared" si="1" ref="G17:H19">G18</f>
        <v>12571750</v>
      </c>
      <c r="H17" s="571">
        <f t="shared" si="1"/>
        <v>11800895</v>
      </c>
    </row>
    <row r="18" spans="1:8" ht="25.5">
      <c r="A18" s="5" t="s">
        <v>469</v>
      </c>
      <c r="B18" s="5"/>
      <c r="C18" s="195" t="s">
        <v>530</v>
      </c>
      <c r="D18" s="195" t="s">
        <v>533</v>
      </c>
      <c r="E18" s="195" t="s">
        <v>689</v>
      </c>
      <c r="F18" s="195" t="s">
        <v>87</v>
      </c>
      <c r="G18" s="571">
        <f t="shared" si="1"/>
        <v>12571750</v>
      </c>
      <c r="H18" s="571">
        <f t="shared" si="1"/>
        <v>11800895</v>
      </c>
    </row>
    <row r="19" spans="1:8" ht="25.5">
      <c r="A19" s="5" t="s">
        <v>473</v>
      </c>
      <c r="B19" s="5"/>
      <c r="C19" s="195" t="s">
        <v>530</v>
      </c>
      <c r="D19" s="195" t="s">
        <v>533</v>
      </c>
      <c r="E19" s="195" t="s">
        <v>690</v>
      </c>
      <c r="F19" s="198" t="s">
        <v>87</v>
      </c>
      <c r="G19" s="571">
        <f t="shared" si="1"/>
        <v>12571750</v>
      </c>
      <c r="H19" s="571">
        <f t="shared" si="1"/>
        <v>11800895</v>
      </c>
    </row>
    <row r="20" spans="1:8" ht="38.25">
      <c r="A20" s="198" t="s">
        <v>731</v>
      </c>
      <c r="B20" s="198"/>
      <c r="C20" s="195" t="s">
        <v>530</v>
      </c>
      <c r="D20" s="195" t="s">
        <v>533</v>
      </c>
      <c r="E20" s="195" t="s">
        <v>692</v>
      </c>
      <c r="F20" s="195" t="s">
        <v>87</v>
      </c>
      <c r="G20" s="571">
        <f>SUM(G21:G23)</f>
        <v>12571750</v>
      </c>
      <c r="H20" s="571">
        <f>SUM(H21:H23)</f>
        <v>11800895</v>
      </c>
    </row>
    <row r="21" spans="1:8" ht="89.25">
      <c r="A21" s="5" t="s">
        <v>735</v>
      </c>
      <c r="B21" s="5"/>
      <c r="C21" s="195" t="s">
        <v>530</v>
      </c>
      <c r="D21" s="195" t="s">
        <v>533</v>
      </c>
      <c r="E21" s="195" t="s">
        <v>692</v>
      </c>
      <c r="F21" s="195">
        <v>100</v>
      </c>
      <c r="G21" s="488">
        <v>11857799</v>
      </c>
      <c r="H21" s="488">
        <v>11130717</v>
      </c>
    </row>
    <row r="22" spans="1:8" ht="38.25">
      <c r="A22" s="5" t="s">
        <v>228</v>
      </c>
      <c r="B22" s="5"/>
      <c r="C22" s="195" t="s">
        <v>530</v>
      </c>
      <c r="D22" s="195" t="s">
        <v>533</v>
      </c>
      <c r="E22" s="195" t="s">
        <v>692</v>
      </c>
      <c r="F22" s="195">
        <v>200</v>
      </c>
      <c r="G22" s="488">
        <v>590765</v>
      </c>
      <c r="H22" s="488">
        <v>554545</v>
      </c>
    </row>
    <row r="23" spans="1:8" ht="12.75">
      <c r="A23" s="5" t="s">
        <v>77</v>
      </c>
      <c r="B23" s="5"/>
      <c r="C23" s="195" t="s">
        <v>530</v>
      </c>
      <c r="D23" s="195" t="s">
        <v>533</v>
      </c>
      <c r="E23" s="195" t="s">
        <v>692</v>
      </c>
      <c r="F23" s="195">
        <v>800</v>
      </c>
      <c r="G23" s="488">
        <v>123186</v>
      </c>
      <c r="H23" s="488">
        <v>115633</v>
      </c>
    </row>
    <row r="24" spans="1:8" ht="12.75">
      <c r="A24" s="214" t="s">
        <v>535</v>
      </c>
      <c r="B24" s="214"/>
      <c r="C24" s="213" t="s">
        <v>530</v>
      </c>
      <c r="D24" s="213" t="s">
        <v>536</v>
      </c>
      <c r="E24" s="213" t="s">
        <v>87</v>
      </c>
      <c r="F24" s="213" t="s">
        <v>87</v>
      </c>
      <c r="G24" s="571">
        <f aca="true" t="shared" si="2" ref="G24:H27">G25</f>
        <v>100000</v>
      </c>
      <c r="H24" s="571">
        <f t="shared" si="2"/>
        <v>93869</v>
      </c>
    </row>
    <row r="25" spans="1:8" ht="25.5">
      <c r="A25" s="5" t="s">
        <v>174</v>
      </c>
      <c r="B25" s="5"/>
      <c r="C25" s="195" t="s">
        <v>530</v>
      </c>
      <c r="D25" s="195" t="s">
        <v>536</v>
      </c>
      <c r="E25" s="195" t="s">
        <v>699</v>
      </c>
      <c r="F25" s="195" t="s">
        <v>87</v>
      </c>
      <c r="G25" s="571">
        <f t="shared" si="2"/>
        <v>100000</v>
      </c>
      <c r="H25" s="571">
        <f t="shared" si="2"/>
        <v>93869</v>
      </c>
    </row>
    <row r="26" spans="1:8" ht="12.75">
      <c r="A26" s="5" t="s">
        <v>535</v>
      </c>
      <c r="B26" s="5"/>
      <c r="C26" s="195" t="s">
        <v>530</v>
      </c>
      <c r="D26" s="195" t="s">
        <v>536</v>
      </c>
      <c r="E26" s="195" t="s">
        <v>700</v>
      </c>
      <c r="F26" s="198" t="s">
        <v>87</v>
      </c>
      <c r="G26" s="571">
        <f t="shared" si="2"/>
        <v>100000</v>
      </c>
      <c r="H26" s="571">
        <f t="shared" si="2"/>
        <v>93869</v>
      </c>
    </row>
    <row r="27" spans="1:8" ht="25.5">
      <c r="A27" s="198" t="s">
        <v>261</v>
      </c>
      <c r="B27" s="198"/>
      <c r="C27" s="195" t="s">
        <v>530</v>
      </c>
      <c r="D27" s="195" t="s">
        <v>536</v>
      </c>
      <c r="E27" s="195" t="s">
        <v>222</v>
      </c>
      <c r="F27" s="209" t="s">
        <v>87</v>
      </c>
      <c r="G27" s="571">
        <f t="shared" si="2"/>
        <v>100000</v>
      </c>
      <c r="H27" s="571">
        <f t="shared" si="2"/>
        <v>93869</v>
      </c>
    </row>
    <row r="28" spans="1:8" ht="12.75">
      <c r="A28" s="5" t="s">
        <v>77</v>
      </c>
      <c r="B28" s="5"/>
      <c r="C28" s="195" t="s">
        <v>530</v>
      </c>
      <c r="D28" s="195" t="s">
        <v>536</v>
      </c>
      <c r="E28" s="195" t="s">
        <v>222</v>
      </c>
      <c r="F28" s="195" t="s">
        <v>78</v>
      </c>
      <c r="G28" s="488">
        <v>100000</v>
      </c>
      <c r="H28" s="488">
        <v>93869</v>
      </c>
    </row>
    <row r="29" spans="1:8" ht="25.5">
      <c r="A29" s="214" t="s">
        <v>471</v>
      </c>
      <c r="B29" s="214"/>
      <c r="C29" s="213" t="s">
        <v>530</v>
      </c>
      <c r="D29" s="213" t="s">
        <v>100</v>
      </c>
      <c r="E29" s="213" t="s">
        <v>87</v>
      </c>
      <c r="F29" s="213" t="s">
        <v>87</v>
      </c>
      <c r="G29" s="571">
        <f>G30+G36+G41+G51+G55+G46</f>
        <v>24174389</v>
      </c>
      <c r="H29" s="571">
        <f>H30+H36+H41+H51+H55+H46</f>
        <v>23023401</v>
      </c>
    </row>
    <row r="30" spans="1:8" ht="89.25">
      <c r="A30" s="150" t="s">
        <v>711</v>
      </c>
      <c r="B30" s="211"/>
      <c r="C30" s="195" t="s">
        <v>530</v>
      </c>
      <c r="D30" s="195" t="s">
        <v>100</v>
      </c>
      <c r="E30" s="196" t="s">
        <v>8</v>
      </c>
      <c r="F30" s="195" t="s">
        <v>87</v>
      </c>
      <c r="G30" s="571">
        <f aca="true" t="shared" si="3" ref="G30:H32">G31</f>
        <v>662105</v>
      </c>
      <c r="H30" s="571">
        <f t="shared" si="3"/>
        <v>903118</v>
      </c>
    </row>
    <row r="31" spans="1:8" ht="51">
      <c r="A31" s="214" t="s">
        <v>476</v>
      </c>
      <c r="B31" s="214"/>
      <c r="C31" s="195" t="s">
        <v>530</v>
      </c>
      <c r="D31" s="195" t="s">
        <v>100</v>
      </c>
      <c r="E31" s="196" t="s">
        <v>9</v>
      </c>
      <c r="F31" s="209" t="s">
        <v>87</v>
      </c>
      <c r="G31" s="571">
        <f t="shared" si="3"/>
        <v>662105</v>
      </c>
      <c r="H31" s="571">
        <f t="shared" si="3"/>
        <v>903118</v>
      </c>
    </row>
    <row r="32" spans="1:8" ht="63.75">
      <c r="A32" s="8" t="s">
        <v>37</v>
      </c>
      <c r="B32" s="8"/>
      <c r="C32" s="195" t="s">
        <v>530</v>
      </c>
      <c r="D32" s="195" t="s">
        <v>100</v>
      </c>
      <c r="E32" s="196" t="s">
        <v>10</v>
      </c>
      <c r="F32" s="209"/>
      <c r="G32" s="571">
        <f t="shared" si="3"/>
        <v>662105</v>
      </c>
      <c r="H32" s="571">
        <f t="shared" si="3"/>
        <v>903118</v>
      </c>
    </row>
    <row r="33" spans="1:8" ht="25.5">
      <c r="A33" s="198" t="s">
        <v>283</v>
      </c>
      <c r="B33" s="198"/>
      <c r="C33" s="195" t="s">
        <v>530</v>
      </c>
      <c r="D33" s="195" t="s">
        <v>100</v>
      </c>
      <c r="E33" s="196" t="s">
        <v>11</v>
      </c>
      <c r="F33" s="209" t="s">
        <v>87</v>
      </c>
      <c r="G33" s="571">
        <f>SUM(G34:G35)</f>
        <v>662105</v>
      </c>
      <c r="H33" s="571">
        <f>SUM(H34:H35)</f>
        <v>903118</v>
      </c>
    </row>
    <row r="34" spans="1:8" ht="38.25">
      <c r="A34" s="5" t="s">
        <v>228</v>
      </c>
      <c r="B34" s="5"/>
      <c r="C34" s="195" t="s">
        <v>530</v>
      </c>
      <c r="D34" s="195" t="s">
        <v>100</v>
      </c>
      <c r="E34" s="196" t="s">
        <v>11</v>
      </c>
      <c r="F34" s="195" t="s">
        <v>74</v>
      </c>
      <c r="G34" s="488">
        <v>203125</v>
      </c>
      <c r="H34" s="488">
        <v>472278</v>
      </c>
    </row>
    <row r="35" spans="1:8" ht="12.75">
      <c r="A35" s="5" t="s">
        <v>77</v>
      </c>
      <c r="B35" s="5"/>
      <c r="C35" s="195" t="s">
        <v>530</v>
      </c>
      <c r="D35" s="195" t="s">
        <v>100</v>
      </c>
      <c r="E35" s="196" t="s">
        <v>11</v>
      </c>
      <c r="F35" s="195">
        <v>800</v>
      </c>
      <c r="G35" s="488">
        <v>458980</v>
      </c>
      <c r="H35" s="488">
        <v>430840</v>
      </c>
    </row>
    <row r="36" spans="1:8" ht="76.5">
      <c r="A36" s="211" t="s">
        <v>296</v>
      </c>
      <c r="B36" s="211"/>
      <c r="C36" s="195" t="s">
        <v>530</v>
      </c>
      <c r="D36" s="195" t="s">
        <v>100</v>
      </c>
      <c r="E36" s="195" t="s">
        <v>12</v>
      </c>
      <c r="F36" s="195"/>
      <c r="G36" s="571">
        <f aca="true" t="shared" si="4" ref="G36:H39">G37</f>
        <v>50000</v>
      </c>
      <c r="H36" s="571">
        <f t="shared" si="4"/>
        <v>46934</v>
      </c>
    </row>
    <row r="37" spans="1:8" ht="114.75">
      <c r="A37" s="4" t="s">
        <v>297</v>
      </c>
      <c r="B37" s="4"/>
      <c r="C37" s="195" t="s">
        <v>530</v>
      </c>
      <c r="D37" s="195" t="s">
        <v>100</v>
      </c>
      <c r="E37" s="195" t="s">
        <v>13</v>
      </c>
      <c r="F37" s="195"/>
      <c r="G37" s="571">
        <f t="shared" si="4"/>
        <v>50000</v>
      </c>
      <c r="H37" s="571">
        <f t="shared" si="4"/>
        <v>46934</v>
      </c>
    </row>
    <row r="38" spans="1:8" ht="39.75" customHeight="1">
      <c r="A38" s="53" t="s">
        <v>284</v>
      </c>
      <c r="B38" s="5"/>
      <c r="C38" s="195" t="s">
        <v>530</v>
      </c>
      <c r="D38" s="195" t="s">
        <v>100</v>
      </c>
      <c r="E38" s="51" t="s">
        <v>110</v>
      </c>
      <c r="F38" s="51"/>
      <c r="G38" s="571">
        <f t="shared" si="4"/>
        <v>50000</v>
      </c>
      <c r="H38" s="571">
        <f t="shared" si="4"/>
        <v>46934</v>
      </c>
    </row>
    <row r="39" spans="1:8" ht="48">
      <c r="A39" s="9" t="s">
        <v>271</v>
      </c>
      <c r="B39" s="5"/>
      <c r="C39" s="195" t="s">
        <v>530</v>
      </c>
      <c r="D39" s="195" t="s">
        <v>100</v>
      </c>
      <c r="E39" s="51" t="s">
        <v>285</v>
      </c>
      <c r="F39" s="51"/>
      <c r="G39" s="571">
        <f t="shared" si="4"/>
        <v>50000</v>
      </c>
      <c r="H39" s="571">
        <f t="shared" si="4"/>
        <v>46934</v>
      </c>
    </row>
    <row r="40" spans="1:8" ht="38.25">
      <c r="A40" s="53" t="s">
        <v>228</v>
      </c>
      <c r="B40" s="5"/>
      <c r="C40" s="195" t="s">
        <v>530</v>
      </c>
      <c r="D40" s="195" t="s">
        <v>100</v>
      </c>
      <c r="E40" s="51" t="s">
        <v>285</v>
      </c>
      <c r="F40" s="51">
        <v>200</v>
      </c>
      <c r="G40" s="571">
        <v>50000</v>
      </c>
      <c r="H40" s="571">
        <v>46934</v>
      </c>
    </row>
    <row r="41" spans="1:8" ht="76.5">
      <c r="A41" s="211" t="s">
        <v>713</v>
      </c>
      <c r="B41" s="211"/>
      <c r="C41" s="195" t="s">
        <v>530</v>
      </c>
      <c r="D41" s="195" t="s">
        <v>100</v>
      </c>
      <c r="E41" s="195" t="s">
        <v>111</v>
      </c>
      <c r="F41" s="195"/>
      <c r="G41" s="571">
        <f aca="true" t="shared" si="5" ref="G41:H44">G42</f>
        <v>30000</v>
      </c>
      <c r="H41" s="571">
        <f t="shared" si="5"/>
        <v>28161</v>
      </c>
    </row>
    <row r="42" spans="1:8" ht="89.25">
      <c r="A42" s="4" t="s">
        <v>714</v>
      </c>
      <c r="B42" s="4"/>
      <c r="C42" s="195" t="s">
        <v>530</v>
      </c>
      <c r="D42" s="195" t="s">
        <v>100</v>
      </c>
      <c r="E42" s="195" t="s">
        <v>112</v>
      </c>
      <c r="F42" s="195"/>
      <c r="G42" s="571">
        <f t="shared" si="5"/>
        <v>30000</v>
      </c>
      <c r="H42" s="571">
        <f t="shared" si="5"/>
        <v>28161</v>
      </c>
    </row>
    <row r="43" spans="1:8" ht="38.25">
      <c r="A43" s="5" t="s">
        <v>113</v>
      </c>
      <c r="B43" s="5"/>
      <c r="C43" s="195" t="s">
        <v>530</v>
      </c>
      <c r="D43" s="195" t="s">
        <v>100</v>
      </c>
      <c r="E43" s="195" t="s">
        <v>114</v>
      </c>
      <c r="F43" s="195"/>
      <c r="G43" s="571">
        <f t="shared" si="5"/>
        <v>30000</v>
      </c>
      <c r="H43" s="571">
        <f t="shared" si="5"/>
        <v>28161</v>
      </c>
    </row>
    <row r="44" spans="1:8" ht="51">
      <c r="A44" s="5" t="s">
        <v>116</v>
      </c>
      <c r="B44" s="5"/>
      <c r="C44" s="195" t="s">
        <v>530</v>
      </c>
      <c r="D44" s="195" t="s">
        <v>100</v>
      </c>
      <c r="E44" s="195" t="s">
        <v>115</v>
      </c>
      <c r="F44" s="195"/>
      <c r="G44" s="571">
        <f t="shared" si="5"/>
        <v>30000</v>
      </c>
      <c r="H44" s="571">
        <f t="shared" si="5"/>
        <v>28161</v>
      </c>
    </row>
    <row r="45" spans="1:8" ht="38.25">
      <c r="A45" s="5" t="s">
        <v>228</v>
      </c>
      <c r="B45" s="5"/>
      <c r="C45" s="195" t="s">
        <v>530</v>
      </c>
      <c r="D45" s="195" t="s">
        <v>100</v>
      </c>
      <c r="E45" s="195" t="s">
        <v>115</v>
      </c>
      <c r="F45" s="195">
        <v>200</v>
      </c>
      <c r="G45" s="488">
        <v>30000</v>
      </c>
      <c r="H45" s="488">
        <v>28161</v>
      </c>
    </row>
    <row r="46" spans="1:8" ht="25.5">
      <c r="A46" s="5" t="s">
        <v>469</v>
      </c>
      <c r="B46" s="5"/>
      <c r="C46" s="195" t="s">
        <v>530</v>
      </c>
      <c r="D46" s="195" t="s">
        <v>100</v>
      </c>
      <c r="E46" s="195" t="s">
        <v>689</v>
      </c>
      <c r="F46" s="195" t="s">
        <v>87</v>
      </c>
      <c r="G46" s="571">
        <f>G47</f>
        <v>334700</v>
      </c>
      <c r="H46" s="571">
        <f>H47</f>
        <v>334700</v>
      </c>
    </row>
    <row r="47" spans="1:8" ht="25.5">
      <c r="A47" s="5" t="s">
        <v>473</v>
      </c>
      <c r="B47" s="5"/>
      <c r="C47" s="195" t="s">
        <v>530</v>
      </c>
      <c r="D47" s="195" t="s">
        <v>100</v>
      </c>
      <c r="E47" s="195" t="s">
        <v>690</v>
      </c>
      <c r="F47" s="198" t="s">
        <v>87</v>
      </c>
      <c r="G47" s="571">
        <f>G48</f>
        <v>334700</v>
      </c>
      <c r="H47" s="571">
        <f>H48</f>
        <v>334700</v>
      </c>
    </row>
    <row r="48" spans="1:8" ht="63.75">
      <c r="A48" s="5" t="s">
        <v>293</v>
      </c>
      <c r="B48" s="5"/>
      <c r="C48" s="195" t="s">
        <v>530</v>
      </c>
      <c r="D48" s="195" t="s">
        <v>100</v>
      </c>
      <c r="E48" s="195" t="s">
        <v>691</v>
      </c>
      <c r="F48" s="198"/>
      <c r="G48" s="571">
        <f>SUM(G49:G50)</f>
        <v>334700</v>
      </c>
      <c r="H48" s="571">
        <f>SUM(H49:H50)</f>
        <v>334700</v>
      </c>
    </row>
    <row r="49" spans="1:8" ht="89.25">
      <c r="A49" s="5" t="s">
        <v>735</v>
      </c>
      <c r="B49" s="5"/>
      <c r="C49" s="195" t="s">
        <v>530</v>
      </c>
      <c r="D49" s="195" t="s">
        <v>100</v>
      </c>
      <c r="E49" s="195" t="s">
        <v>691</v>
      </c>
      <c r="F49" s="198">
        <v>100</v>
      </c>
      <c r="G49" s="488">
        <v>300582</v>
      </c>
      <c r="H49" s="488">
        <v>300582</v>
      </c>
    </row>
    <row r="50" spans="1:8" ht="38.25">
      <c r="A50" s="5" t="s">
        <v>228</v>
      </c>
      <c r="B50" s="5"/>
      <c r="C50" s="195" t="s">
        <v>530</v>
      </c>
      <c r="D50" s="195" t="s">
        <v>100</v>
      </c>
      <c r="E50" s="195" t="s">
        <v>691</v>
      </c>
      <c r="F50" s="198">
        <v>200</v>
      </c>
      <c r="G50" s="488">
        <v>34118</v>
      </c>
      <c r="H50" s="488">
        <v>34118</v>
      </c>
    </row>
    <row r="51" spans="1:8" ht="38.25">
      <c r="A51" s="5" t="s">
        <v>520</v>
      </c>
      <c r="B51" s="5"/>
      <c r="C51" s="195" t="s">
        <v>530</v>
      </c>
      <c r="D51" s="195" t="s">
        <v>100</v>
      </c>
      <c r="E51" s="196" t="s">
        <v>519</v>
      </c>
      <c r="F51" s="195"/>
      <c r="G51" s="571">
        <f aca="true" t="shared" si="6" ref="G51:H53">G52</f>
        <v>59900</v>
      </c>
      <c r="H51" s="571">
        <f t="shared" si="6"/>
        <v>56227</v>
      </c>
    </row>
    <row r="52" spans="1:8" ht="25.5">
      <c r="A52" s="4" t="s">
        <v>518</v>
      </c>
      <c r="B52" s="4"/>
      <c r="C52" s="195" t="s">
        <v>530</v>
      </c>
      <c r="D52" s="195" t="s">
        <v>100</v>
      </c>
      <c r="E52" s="196" t="s">
        <v>517</v>
      </c>
      <c r="F52" s="195"/>
      <c r="G52" s="571">
        <f t="shared" si="6"/>
        <v>59900</v>
      </c>
      <c r="H52" s="571">
        <f t="shared" si="6"/>
        <v>56227</v>
      </c>
    </row>
    <row r="53" spans="1:8" ht="38.25">
      <c r="A53" s="198" t="s">
        <v>36</v>
      </c>
      <c r="B53" s="198"/>
      <c r="C53" s="195" t="s">
        <v>530</v>
      </c>
      <c r="D53" s="195" t="s">
        <v>100</v>
      </c>
      <c r="E53" s="196" t="s">
        <v>716</v>
      </c>
      <c r="F53" s="195"/>
      <c r="G53" s="571">
        <f t="shared" si="6"/>
        <v>59900</v>
      </c>
      <c r="H53" s="571">
        <f t="shared" si="6"/>
        <v>56227</v>
      </c>
    </row>
    <row r="54" spans="1:8" ht="12.75">
      <c r="A54" s="5" t="s">
        <v>77</v>
      </c>
      <c r="B54" s="5"/>
      <c r="C54" s="195" t="s">
        <v>530</v>
      </c>
      <c r="D54" s="195" t="s">
        <v>100</v>
      </c>
      <c r="E54" s="196" t="s">
        <v>716</v>
      </c>
      <c r="F54" s="195">
        <v>800</v>
      </c>
      <c r="G54" s="488">
        <v>59900</v>
      </c>
      <c r="H54" s="488">
        <v>56227</v>
      </c>
    </row>
    <row r="55" spans="1:8" ht="38.25">
      <c r="A55" s="211" t="s">
        <v>626</v>
      </c>
      <c r="B55" s="211"/>
      <c r="C55" s="195" t="s">
        <v>530</v>
      </c>
      <c r="D55" s="195" t="s">
        <v>100</v>
      </c>
      <c r="E55" s="196" t="s">
        <v>14</v>
      </c>
      <c r="F55" s="209" t="s">
        <v>87</v>
      </c>
      <c r="G55" s="571">
        <f>G56</f>
        <v>23037684</v>
      </c>
      <c r="H55" s="571">
        <f>H56</f>
        <v>21654261</v>
      </c>
    </row>
    <row r="56" spans="1:8" ht="25.5">
      <c r="A56" s="4" t="s">
        <v>636</v>
      </c>
      <c r="B56" s="4"/>
      <c r="C56" s="195" t="s">
        <v>530</v>
      </c>
      <c r="D56" s="195" t="s">
        <v>100</v>
      </c>
      <c r="E56" s="199" t="s">
        <v>16</v>
      </c>
      <c r="F56" s="210" t="s">
        <v>87</v>
      </c>
      <c r="G56" s="571">
        <f>G57+G61+G63+G65</f>
        <v>23037684</v>
      </c>
      <c r="H56" s="571">
        <f>H57+H61+H63+H65</f>
        <v>21654261</v>
      </c>
    </row>
    <row r="57" spans="1:8" ht="38.25">
      <c r="A57" s="198" t="s">
        <v>494</v>
      </c>
      <c r="B57" s="198"/>
      <c r="C57" s="195" t="s">
        <v>530</v>
      </c>
      <c r="D57" s="195" t="s">
        <v>100</v>
      </c>
      <c r="E57" s="196" t="s">
        <v>17</v>
      </c>
      <c r="F57" s="209" t="s">
        <v>87</v>
      </c>
      <c r="G57" s="571">
        <f>SUM(G58:G60)</f>
        <v>22740334</v>
      </c>
      <c r="H57" s="571">
        <f>SUM(H58:H60)</f>
        <v>21346108</v>
      </c>
    </row>
    <row r="58" spans="1:8" ht="89.25">
      <c r="A58" s="5" t="s">
        <v>735</v>
      </c>
      <c r="B58" s="5"/>
      <c r="C58" s="195" t="s">
        <v>530</v>
      </c>
      <c r="D58" s="195" t="s">
        <v>100</v>
      </c>
      <c r="E58" s="196" t="s">
        <v>17</v>
      </c>
      <c r="F58" s="195" t="s">
        <v>592</v>
      </c>
      <c r="G58" s="488">
        <v>21759087</v>
      </c>
      <c r="H58" s="488">
        <v>20425022</v>
      </c>
    </row>
    <row r="59" spans="1:8" ht="38.25">
      <c r="A59" s="5" t="s">
        <v>228</v>
      </c>
      <c r="B59" s="5"/>
      <c r="C59" s="195" t="s">
        <v>530</v>
      </c>
      <c r="D59" s="195" t="s">
        <v>100</v>
      </c>
      <c r="E59" s="196" t="s">
        <v>17</v>
      </c>
      <c r="F59" s="195" t="s">
        <v>74</v>
      </c>
      <c r="G59" s="488">
        <v>934400</v>
      </c>
      <c r="H59" s="488">
        <v>877111</v>
      </c>
    </row>
    <row r="60" spans="1:8" ht="12.75">
      <c r="A60" s="5" t="s">
        <v>77</v>
      </c>
      <c r="B60" s="5"/>
      <c r="C60" s="195" t="s">
        <v>530</v>
      </c>
      <c r="D60" s="195" t="s">
        <v>100</v>
      </c>
      <c r="E60" s="196" t="s">
        <v>17</v>
      </c>
      <c r="F60" s="195" t="s">
        <v>78</v>
      </c>
      <c r="G60" s="488">
        <v>46847</v>
      </c>
      <c r="H60" s="488">
        <v>43975</v>
      </c>
    </row>
    <row r="61" spans="1:8" ht="38.25" hidden="1">
      <c r="A61" s="198" t="s">
        <v>36</v>
      </c>
      <c r="B61" s="5"/>
      <c r="C61" s="195" t="s">
        <v>530</v>
      </c>
      <c r="D61" s="195" t="s">
        <v>100</v>
      </c>
      <c r="E61" s="196" t="s">
        <v>341</v>
      </c>
      <c r="F61" s="195"/>
      <c r="G61" s="488">
        <f>G62</f>
        <v>0</v>
      </c>
      <c r="H61" s="488">
        <f>H62</f>
        <v>0</v>
      </c>
    </row>
    <row r="62" spans="1:8" ht="12.75" hidden="1">
      <c r="A62" s="5" t="s">
        <v>77</v>
      </c>
      <c r="B62" s="5"/>
      <c r="C62" s="195" t="s">
        <v>530</v>
      </c>
      <c r="D62" s="195" t="s">
        <v>100</v>
      </c>
      <c r="E62" s="196" t="s">
        <v>341</v>
      </c>
      <c r="F62" s="195">
        <v>800</v>
      </c>
      <c r="G62" s="488"/>
      <c r="H62" s="488"/>
    </row>
    <row r="63" spans="1:8" ht="38.25">
      <c r="A63" s="198" t="s">
        <v>464</v>
      </c>
      <c r="B63" s="198"/>
      <c r="C63" s="195" t="s">
        <v>530</v>
      </c>
      <c r="D63" s="195" t="s">
        <v>100</v>
      </c>
      <c r="E63" s="196" t="s">
        <v>18</v>
      </c>
      <c r="F63" s="209" t="s">
        <v>87</v>
      </c>
      <c r="G63" s="571">
        <f>G64</f>
        <v>130000</v>
      </c>
      <c r="H63" s="571">
        <f>H64</f>
        <v>140803</v>
      </c>
    </row>
    <row r="64" spans="1:8" ht="38.25">
      <c r="A64" s="5" t="s">
        <v>228</v>
      </c>
      <c r="B64" s="5"/>
      <c r="C64" s="195" t="s">
        <v>530</v>
      </c>
      <c r="D64" s="195" t="s">
        <v>100</v>
      </c>
      <c r="E64" s="196" t="s">
        <v>18</v>
      </c>
      <c r="F64" s="196">
        <v>200</v>
      </c>
      <c r="G64" s="488">
        <v>130000</v>
      </c>
      <c r="H64" s="488">
        <v>140803</v>
      </c>
    </row>
    <row r="65" spans="1:8" ht="89.25">
      <c r="A65" s="6" t="s">
        <v>767</v>
      </c>
      <c r="B65" s="6"/>
      <c r="C65" s="195" t="s">
        <v>530</v>
      </c>
      <c r="D65" s="195" t="s">
        <v>100</v>
      </c>
      <c r="E65" s="196" t="s">
        <v>46</v>
      </c>
      <c r="F65" s="196"/>
      <c r="G65" s="571">
        <f>SUM(G66:G67)</f>
        <v>167350</v>
      </c>
      <c r="H65" s="571">
        <f>SUM(H66:H67)</f>
        <v>167350</v>
      </c>
    </row>
    <row r="66" spans="1:8" ht="89.25">
      <c r="A66" s="5" t="s">
        <v>735</v>
      </c>
      <c r="B66" s="5"/>
      <c r="C66" s="195" t="s">
        <v>530</v>
      </c>
      <c r="D66" s="195" t="s">
        <v>100</v>
      </c>
      <c r="E66" s="196" t="s">
        <v>46</v>
      </c>
      <c r="F66" s="196">
        <v>100</v>
      </c>
      <c r="G66" s="488">
        <v>124992</v>
      </c>
      <c r="H66" s="488">
        <v>124992</v>
      </c>
    </row>
    <row r="67" spans="1:8" ht="38.25">
      <c r="A67" s="193" t="s">
        <v>228</v>
      </c>
      <c r="B67" s="193"/>
      <c r="C67" s="191" t="s">
        <v>530</v>
      </c>
      <c r="D67" s="191" t="s">
        <v>100</v>
      </c>
      <c r="E67" s="192" t="s">
        <v>46</v>
      </c>
      <c r="F67" s="192">
        <v>200</v>
      </c>
      <c r="G67" s="574">
        <v>42358</v>
      </c>
      <c r="H67" s="574">
        <v>42358</v>
      </c>
    </row>
    <row r="68" spans="1:8" ht="12.75">
      <c r="A68" s="174" t="s">
        <v>522</v>
      </c>
      <c r="B68" s="174"/>
      <c r="C68" s="172" t="s">
        <v>532</v>
      </c>
      <c r="D68" s="216" t="s">
        <v>462</v>
      </c>
      <c r="E68" s="172" t="s">
        <v>87</v>
      </c>
      <c r="F68" s="172" t="s">
        <v>87</v>
      </c>
      <c r="G68" s="570">
        <f aca="true" t="shared" si="7" ref="G68:H72">G69</f>
        <v>16200</v>
      </c>
      <c r="H68" s="570">
        <f t="shared" si="7"/>
        <v>15207</v>
      </c>
    </row>
    <row r="69" spans="1:8" ht="25.5">
      <c r="A69" s="214" t="s">
        <v>521</v>
      </c>
      <c r="B69" s="214"/>
      <c r="C69" s="213" t="s">
        <v>532</v>
      </c>
      <c r="D69" s="213" t="s">
        <v>533</v>
      </c>
      <c r="E69" s="212" t="s">
        <v>87</v>
      </c>
      <c r="F69" s="212" t="s">
        <v>87</v>
      </c>
      <c r="G69" s="571">
        <f t="shared" si="7"/>
        <v>16200</v>
      </c>
      <c r="H69" s="571">
        <f t="shared" si="7"/>
        <v>15207</v>
      </c>
    </row>
    <row r="70" spans="1:8" ht="38.25">
      <c r="A70" s="5" t="s">
        <v>520</v>
      </c>
      <c r="B70" s="5"/>
      <c r="C70" s="195" t="s">
        <v>532</v>
      </c>
      <c r="D70" s="195" t="s">
        <v>533</v>
      </c>
      <c r="E70" s="196" t="s">
        <v>519</v>
      </c>
      <c r="F70" s="209" t="s">
        <v>87</v>
      </c>
      <c r="G70" s="571">
        <f t="shared" si="7"/>
        <v>16200</v>
      </c>
      <c r="H70" s="571">
        <f t="shared" si="7"/>
        <v>15207</v>
      </c>
    </row>
    <row r="71" spans="1:8" ht="25.5">
      <c r="A71" s="5" t="s">
        <v>518</v>
      </c>
      <c r="B71" s="5"/>
      <c r="C71" s="195" t="s">
        <v>532</v>
      </c>
      <c r="D71" s="195" t="s">
        <v>533</v>
      </c>
      <c r="E71" s="196" t="s">
        <v>517</v>
      </c>
      <c r="F71" s="209"/>
      <c r="G71" s="571">
        <f t="shared" si="7"/>
        <v>16200</v>
      </c>
      <c r="H71" s="571">
        <f t="shared" si="7"/>
        <v>15207</v>
      </c>
    </row>
    <row r="72" spans="1:8" ht="38.25">
      <c r="A72" s="12" t="s">
        <v>516</v>
      </c>
      <c r="B72" s="12"/>
      <c r="C72" s="195" t="s">
        <v>532</v>
      </c>
      <c r="D72" s="195" t="s">
        <v>533</v>
      </c>
      <c r="E72" s="196" t="s">
        <v>515</v>
      </c>
      <c r="F72" s="210" t="s">
        <v>87</v>
      </c>
      <c r="G72" s="571">
        <f t="shared" si="7"/>
        <v>16200</v>
      </c>
      <c r="H72" s="571">
        <f t="shared" si="7"/>
        <v>15207</v>
      </c>
    </row>
    <row r="73" spans="1:8" ht="38.25">
      <c r="A73" s="193" t="s">
        <v>91</v>
      </c>
      <c r="B73" s="193"/>
      <c r="C73" s="191" t="s">
        <v>532</v>
      </c>
      <c r="D73" s="191" t="s">
        <v>533</v>
      </c>
      <c r="E73" s="192" t="s">
        <v>515</v>
      </c>
      <c r="F73" s="191">
        <v>200</v>
      </c>
      <c r="G73" s="574">
        <v>16200</v>
      </c>
      <c r="H73" s="574">
        <v>15207</v>
      </c>
    </row>
    <row r="74" spans="1:8" ht="38.25">
      <c r="A74" s="174" t="s">
        <v>472</v>
      </c>
      <c r="B74" s="174"/>
      <c r="C74" s="172" t="s">
        <v>101</v>
      </c>
      <c r="D74" s="216" t="s">
        <v>462</v>
      </c>
      <c r="E74" s="172" t="s">
        <v>87</v>
      </c>
      <c r="F74" s="172" t="s">
        <v>87</v>
      </c>
      <c r="G74" s="570">
        <f aca="true" t="shared" si="8" ref="G74:H78">G75</f>
        <v>2707710</v>
      </c>
      <c r="H74" s="570">
        <f t="shared" si="8"/>
        <v>2541699</v>
      </c>
    </row>
    <row r="75" spans="1:8" ht="51">
      <c r="A75" s="214" t="s">
        <v>481</v>
      </c>
      <c r="B75" s="214"/>
      <c r="C75" s="213" t="s">
        <v>101</v>
      </c>
      <c r="D75" s="213">
        <v>10</v>
      </c>
      <c r="E75" s="213" t="s">
        <v>87</v>
      </c>
      <c r="F75" s="213" t="s">
        <v>87</v>
      </c>
      <c r="G75" s="571">
        <f t="shared" si="8"/>
        <v>2707710</v>
      </c>
      <c r="H75" s="571">
        <f t="shared" si="8"/>
        <v>2541699</v>
      </c>
    </row>
    <row r="76" spans="1:8" ht="76.5">
      <c r="A76" s="211" t="s">
        <v>482</v>
      </c>
      <c r="B76" s="211"/>
      <c r="C76" s="195" t="s">
        <v>101</v>
      </c>
      <c r="D76" s="195">
        <v>10</v>
      </c>
      <c r="E76" s="196" t="s">
        <v>19</v>
      </c>
      <c r="F76" s="195" t="s">
        <v>87</v>
      </c>
      <c r="G76" s="571">
        <f t="shared" si="8"/>
        <v>2707710</v>
      </c>
      <c r="H76" s="571">
        <f t="shared" si="8"/>
        <v>2541699</v>
      </c>
    </row>
    <row r="77" spans="1:8" ht="127.5">
      <c r="A77" s="4" t="s">
        <v>294</v>
      </c>
      <c r="B77" s="4"/>
      <c r="C77" s="195" t="s">
        <v>101</v>
      </c>
      <c r="D77" s="195">
        <v>10</v>
      </c>
      <c r="E77" s="196" t="s">
        <v>883</v>
      </c>
      <c r="F77" s="195"/>
      <c r="G77" s="571">
        <f t="shared" si="8"/>
        <v>2707710</v>
      </c>
      <c r="H77" s="571">
        <f t="shared" si="8"/>
        <v>2541699</v>
      </c>
    </row>
    <row r="78" spans="1:8" ht="102">
      <c r="A78" s="7" t="s">
        <v>259</v>
      </c>
      <c r="B78" s="7"/>
      <c r="C78" s="195" t="s">
        <v>101</v>
      </c>
      <c r="D78" s="195">
        <v>10</v>
      </c>
      <c r="E78" s="196" t="s">
        <v>932</v>
      </c>
      <c r="F78" s="195"/>
      <c r="G78" s="571">
        <f t="shared" si="8"/>
        <v>2707710</v>
      </c>
      <c r="H78" s="571">
        <f t="shared" si="8"/>
        <v>2541699</v>
      </c>
    </row>
    <row r="79" spans="1:8" ht="38.25">
      <c r="A79" s="198" t="s">
        <v>494</v>
      </c>
      <c r="B79" s="198"/>
      <c r="C79" s="195" t="s">
        <v>101</v>
      </c>
      <c r="D79" s="195">
        <v>10</v>
      </c>
      <c r="E79" s="196" t="s">
        <v>927</v>
      </c>
      <c r="F79" s="195" t="s">
        <v>87</v>
      </c>
      <c r="G79" s="571">
        <f>SUM(G80:G82)</f>
        <v>2707710</v>
      </c>
      <c r="H79" s="571">
        <f>SUM(H80:H82)</f>
        <v>2541699</v>
      </c>
    </row>
    <row r="80" spans="1:8" ht="89.25">
      <c r="A80" s="5" t="s">
        <v>735</v>
      </c>
      <c r="B80" s="5"/>
      <c r="C80" s="195" t="s">
        <v>101</v>
      </c>
      <c r="D80" s="195">
        <v>10</v>
      </c>
      <c r="E80" s="196" t="s">
        <v>927</v>
      </c>
      <c r="F80" s="195" t="s">
        <v>592</v>
      </c>
      <c r="G80" s="488">
        <v>2562144</v>
      </c>
      <c r="H80" s="488">
        <v>2405057</v>
      </c>
    </row>
    <row r="81" spans="1:8" ht="38.25">
      <c r="A81" s="5" t="s">
        <v>228</v>
      </c>
      <c r="B81" s="5"/>
      <c r="C81" s="195" t="s">
        <v>101</v>
      </c>
      <c r="D81" s="195">
        <v>10</v>
      </c>
      <c r="E81" s="196" t="s">
        <v>927</v>
      </c>
      <c r="F81" s="195" t="s">
        <v>74</v>
      </c>
      <c r="G81" s="488">
        <v>144366</v>
      </c>
      <c r="H81" s="488">
        <v>135515</v>
      </c>
    </row>
    <row r="82" spans="1:8" ht="12.75">
      <c r="A82" s="193" t="s">
        <v>77</v>
      </c>
      <c r="B82" s="193"/>
      <c r="C82" s="191" t="s">
        <v>101</v>
      </c>
      <c r="D82" s="191">
        <v>10</v>
      </c>
      <c r="E82" s="196" t="s">
        <v>927</v>
      </c>
      <c r="F82" s="191" t="s">
        <v>78</v>
      </c>
      <c r="G82" s="574">
        <v>1200</v>
      </c>
      <c r="H82" s="574">
        <v>1127</v>
      </c>
    </row>
    <row r="83" spans="1:8" ht="12.75">
      <c r="A83" s="174" t="s">
        <v>723</v>
      </c>
      <c r="B83" s="174"/>
      <c r="C83" s="172" t="s">
        <v>533</v>
      </c>
      <c r="D83" s="216" t="s">
        <v>462</v>
      </c>
      <c r="E83" s="172" t="s">
        <v>87</v>
      </c>
      <c r="F83" s="172" t="s">
        <v>87</v>
      </c>
      <c r="G83" s="570">
        <f>G84+G97+G113+G90</f>
        <v>5645950.8</v>
      </c>
      <c r="H83" s="570">
        <f>H84+H97+H113+H90</f>
        <v>34024176.54</v>
      </c>
    </row>
    <row r="84" spans="1:8" ht="12.75">
      <c r="A84" s="214" t="s">
        <v>724</v>
      </c>
      <c r="B84" s="214"/>
      <c r="C84" s="213" t="s">
        <v>533</v>
      </c>
      <c r="D84" s="213" t="s">
        <v>530</v>
      </c>
      <c r="E84" s="213" t="s">
        <v>87</v>
      </c>
      <c r="F84" s="213" t="s">
        <v>87</v>
      </c>
      <c r="G84" s="571">
        <f aca="true" t="shared" si="9" ref="G84:H88">G85</f>
        <v>93421</v>
      </c>
      <c r="H84" s="571">
        <f t="shared" si="9"/>
        <v>87694</v>
      </c>
    </row>
    <row r="85" spans="1:8" ht="51">
      <c r="A85" s="211" t="s">
        <v>702</v>
      </c>
      <c r="B85" s="211"/>
      <c r="C85" s="195" t="s">
        <v>533</v>
      </c>
      <c r="D85" s="195" t="s">
        <v>530</v>
      </c>
      <c r="E85" s="196" t="s">
        <v>21</v>
      </c>
      <c r="F85" s="195" t="s">
        <v>87</v>
      </c>
      <c r="G85" s="571">
        <f t="shared" si="9"/>
        <v>93421</v>
      </c>
      <c r="H85" s="571">
        <f t="shared" si="9"/>
        <v>87694</v>
      </c>
    </row>
    <row r="86" spans="1:8" ht="76.5">
      <c r="A86" s="4" t="s">
        <v>584</v>
      </c>
      <c r="B86" s="4"/>
      <c r="C86" s="195" t="s">
        <v>533</v>
      </c>
      <c r="D86" s="195" t="s">
        <v>530</v>
      </c>
      <c r="E86" s="196" t="s">
        <v>22</v>
      </c>
      <c r="F86" s="195"/>
      <c r="G86" s="571">
        <f t="shared" si="9"/>
        <v>93421</v>
      </c>
      <c r="H86" s="571">
        <f t="shared" si="9"/>
        <v>87694</v>
      </c>
    </row>
    <row r="87" spans="1:8" ht="63.75">
      <c r="A87" s="8" t="s">
        <v>514</v>
      </c>
      <c r="B87" s="8"/>
      <c r="C87" s="195" t="s">
        <v>533</v>
      </c>
      <c r="D87" s="195" t="s">
        <v>530</v>
      </c>
      <c r="E87" s="196" t="s">
        <v>23</v>
      </c>
      <c r="F87" s="195"/>
      <c r="G87" s="571">
        <f t="shared" si="9"/>
        <v>93421</v>
      </c>
      <c r="H87" s="571">
        <f t="shared" si="9"/>
        <v>87694</v>
      </c>
    </row>
    <row r="88" spans="1:8" ht="25.5">
      <c r="A88" s="5" t="s">
        <v>701</v>
      </c>
      <c r="B88" s="5"/>
      <c r="C88" s="195" t="s">
        <v>533</v>
      </c>
      <c r="D88" s="195" t="s">
        <v>530</v>
      </c>
      <c r="E88" s="196" t="s">
        <v>24</v>
      </c>
      <c r="F88" s="195"/>
      <c r="G88" s="571">
        <f t="shared" si="9"/>
        <v>93421</v>
      </c>
      <c r="H88" s="571">
        <f t="shared" si="9"/>
        <v>87694</v>
      </c>
    </row>
    <row r="89" spans="1:8" ht="51">
      <c r="A89" s="5" t="s">
        <v>90</v>
      </c>
      <c r="B89" s="5"/>
      <c r="C89" s="195" t="s">
        <v>533</v>
      </c>
      <c r="D89" s="195" t="s">
        <v>530</v>
      </c>
      <c r="E89" s="196" t="s">
        <v>24</v>
      </c>
      <c r="F89" s="195">
        <v>600</v>
      </c>
      <c r="G89" s="488">
        <v>93421</v>
      </c>
      <c r="H89" s="488">
        <v>87694</v>
      </c>
    </row>
    <row r="90" spans="1:8" ht="12.75">
      <c r="A90" s="152" t="s">
        <v>886</v>
      </c>
      <c r="B90" s="5"/>
      <c r="C90" s="151" t="s">
        <v>533</v>
      </c>
      <c r="D90" s="151" t="s">
        <v>553</v>
      </c>
      <c r="E90" s="151"/>
      <c r="F90" s="151"/>
      <c r="G90" s="572">
        <f aca="true" t="shared" si="10" ref="G90:H94">G91</f>
        <v>1534576.8</v>
      </c>
      <c r="H90" s="572">
        <f t="shared" si="10"/>
        <v>0</v>
      </c>
    </row>
    <row r="91" spans="1:8" ht="89.25">
      <c r="A91" s="150" t="s">
        <v>478</v>
      </c>
      <c r="B91" s="5"/>
      <c r="C91" s="147" t="s">
        <v>533</v>
      </c>
      <c r="D91" s="147" t="s">
        <v>553</v>
      </c>
      <c r="E91" s="148" t="s">
        <v>890</v>
      </c>
      <c r="F91" s="147"/>
      <c r="G91" s="572">
        <f t="shared" si="10"/>
        <v>1534576.8</v>
      </c>
      <c r="H91" s="572">
        <f t="shared" si="10"/>
        <v>0</v>
      </c>
    </row>
    <row r="92" spans="1:8" ht="38.25">
      <c r="A92" s="84" t="s">
        <v>887</v>
      </c>
      <c r="B92" s="5"/>
      <c r="C92" s="147" t="s">
        <v>533</v>
      </c>
      <c r="D92" s="147" t="s">
        <v>553</v>
      </c>
      <c r="E92" s="148" t="s">
        <v>891</v>
      </c>
      <c r="F92" s="147"/>
      <c r="G92" s="572">
        <f t="shared" si="10"/>
        <v>1534576.8</v>
      </c>
      <c r="H92" s="572">
        <f t="shared" si="10"/>
        <v>0</v>
      </c>
    </row>
    <row r="93" spans="1:8" ht="54.75" customHeight="1">
      <c r="A93" s="159" t="s">
        <v>888</v>
      </c>
      <c r="B93" s="5"/>
      <c r="C93" s="147" t="s">
        <v>533</v>
      </c>
      <c r="D93" s="147" t="s">
        <v>553</v>
      </c>
      <c r="E93" s="148" t="s">
        <v>892</v>
      </c>
      <c r="F93" s="147"/>
      <c r="G93" s="483">
        <f t="shared" si="10"/>
        <v>1534576.8</v>
      </c>
      <c r="H93" s="483">
        <f t="shared" si="10"/>
        <v>0</v>
      </c>
    </row>
    <row r="94" spans="1:8" ht="25.5">
      <c r="A94" s="159" t="s">
        <v>889</v>
      </c>
      <c r="B94" s="5"/>
      <c r="C94" s="147" t="s">
        <v>533</v>
      </c>
      <c r="D94" s="147" t="s">
        <v>553</v>
      </c>
      <c r="E94" s="148" t="s">
        <v>893</v>
      </c>
      <c r="F94" s="147"/>
      <c r="G94" s="483">
        <f t="shared" si="10"/>
        <v>1534576.8</v>
      </c>
      <c r="H94" s="483">
        <f t="shared" si="10"/>
        <v>0</v>
      </c>
    </row>
    <row r="95" spans="1:8" ht="38.25">
      <c r="A95" s="159" t="s">
        <v>228</v>
      </c>
      <c r="B95" s="5"/>
      <c r="C95" s="147" t="s">
        <v>533</v>
      </c>
      <c r="D95" s="147" t="s">
        <v>553</v>
      </c>
      <c r="E95" s="148" t="s">
        <v>893</v>
      </c>
      <c r="F95" s="147" t="s">
        <v>74</v>
      </c>
      <c r="G95" s="483">
        <v>1534576.8</v>
      </c>
      <c r="H95" s="483"/>
    </row>
    <row r="96" spans="1:8" ht="12.75" hidden="1">
      <c r="A96" s="5"/>
      <c r="B96" s="5"/>
      <c r="C96" s="195"/>
      <c r="D96" s="195"/>
      <c r="E96" s="196"/>
      <c r="F96" s="195"/>
      <c r="G96" s="488"/>
      <c r="H96" s="488"/>
    </row>
    <row r="97" spans="1:8" ht="25.5">
      <c r="A97" s="214" t="s">
        <v>86</v>
      </c>
      <c r="B97" s="214"/>
      <c r="C97" s="213" t="s">
        <v>533</v>
      </c>
      <c r="D97" s="213" t="s">
        <v>102</v>
      </c>
      <c r="E97" s="212" t="s">
        <v>87</v>
      </c>
      <c r="F97" s="212" t="s">
        <v>87</v>
      </c>
      <c r="G97" s="571">
        <f>G98</f>
        <v>2927430</v>
      </c>
      <c r="H97" s="571">
        <f>H98</f>
        <v>33729970.54</v>
      </c>
    </row>
    <row r="98" spans="1:8" ht="89.25">
      <c r="A98" s="211" t="s">
        <v>478</v>
      </c>
      <c r="B98" s="211"/>
      <c r="C98" s="195" t="s">
        <v>533</v>
      </c>
      <c r="D98" s="195" t="s">
        <v>102</v>
      </c>
      <c r="E98" s="196" t="s">
        <v>29</v>
      </c>
      <c r="F98" s="209" t="s">
        <v>87</v>
      </c>
      <c r="G98" s="571">
        <f>G99+G109</f>
        <v>2927430</v>
      </c>
      <c r="H98" s="571">
        <f>H99+H109</f>
        <v>33729970.54</v>
      </c>
    </row>
    <row r="99" spans="1:8" ht="114.75">
      <c r="A99" s="4" t="s">
        <v>47</v>
      </c>
      <c r="B99" s="4"/>
      <c r="C99" s="195" t="s">
        <v>533</v>
      </c>
      <c r="D99" s="195" t="s">
        <v>102</v>
      </c>
      <c r="E99" s="199" t="s">
        <v>233</v>
      </c>
      <c r="F99" s="210" t="s">
        <v>87</v>
      </c>
      <c r="G99" s="571">
        <f>G100+G103+G106</f>
        <v>2727158</v>
      </c>
      <c r="H99" s="571">
        <f>H100+H103+H106</f>
        <v>33729970.54</v>
      </c>
    </row>
    <row r="100" spans="1:8" ht="38.25">
      <c r="A100" s="8" t="s">
        <v>232</v>
      </c>
      <c r="B100" s="8"/>
      <c r="C100" s="195" t="s">
        <v>533</v>
      </c>
      <c r="D100" s="195" t="s">
        <v>102</v>
      </c>
      <c r="E100" s="196" t="s">
        <v>231</v>
      </c>
      <c r="F100" s="210"/>
      <c r="G100" s="571">
        <f>G101</f>
        <v>299728</v>
      </c>
      <c r="H100" s="571">
        <f>H101</f>
        <v>0</v>
      </c>
    </row>
    <row r="101" spans="1:8" ht="51">
      <c r="A101" s="12" t="s">
        <v>31</v>
      </c>
      <c r="B101" s="12"/>
      <c r="C101" s="195" t="s">
        <v>533</v>
      </c>
      <c r="D101" s="195" t="s">
        <v>102</v>
      </c>
      <c r="E101" s="196" t="s">
        <v>230</v>
      </c>
      <c r="F101" s="210"/>
      <c r="G101" s="571">
        <f>G102</f>
        <v>299728</v>
      </c>
      <c r="H101" s="571">
        <f>H102</f>
        <v>0</v>
      </c>
    </row>
    <row r="102" spans="1:8" ht="12.75">
      <c r="A102" s="5" t="s">
        <v>77</v>
      </c>
      <c r="B102" s="5"/>
      <c r="C102" s="195" t="s">
        <v>533</v>
      </c>
      <c r="D102" s="195" t="s">
        <v>102</v>
      </c>
      <c r="E102" s="196" t="s">
        <v>230</v>
      </c>
      <c r="F102" s="198">
        <v>800</v>
      </c>
      <c r="G102" s="488">
        <v>299728</v>
      </c>
      <c r="H102" s="488">
        <v>0</v>
      </c>
    </row>
    <row r="103" spans="1:8" ht="51">
      <c r="A103" s="8" t="s">
        <v>229</v>
      </c>
      <c r="B103" s="8"/>
      <c r="C103" s="195" t="s">
        <v>533</v>
      </c>
      <c r="D103" s="195" t="s">
        <v>102</v>
      </c>
      <c r="E103" s="196" t="s">
        <v>250</v>
      </c>
      <c r="F103" s="210"/>
      <c r="G103" s="571">
        <f>G104</f>
        <v>2427430</v>
      </c>
      <c r="H103" s="571">
        <f>H104</f>
        <v>33729970.54</v>
      </c>
    </row>
    <row r="104" spans="1:8" ht="63.75">
      <c r="A104" s="49" t="s">
        <v>628</v>
      </c>
      <c r="B104" s="49"/>
      <c r="C104" s="195" t="s">
        <v>533</v>
      </c>
      <c r="D104" s="195" t="s">
        <v>102</v>
      </c>
      <c r="E104" s="48" t="s">
        <v>627</v>
      </c>
      <c r="F104" s="195" t="s">
        <v>87</v>
      </c>
      <c r="G104" s="571">
        <f>G105</f>
        <v>2427430</v>
      </c>
      <c r="H104" s="571">
        <f>H105</f>
        <v>33729970.54</v>
      </c>
    </row>
    <row r="105" spans="1:8" ht="38.25">
      <c r="A105" s="5" t="s">
        <v>228</v>
      </c>
      <c r="B105" s="5"/>
      <c r="C105" s="195" t="s">
        <v>533</v>
      </c>
      <c r="D105" s="195" t="s">
        <v>102</v>
      </c>
      <c r="E105" s="48" t="s">
        <v>627</v>
      </c>
      <c r="F105" s="195">
        <v>200</v>
      </c>
      <c r="G105" s="488">
        <v>2427430</v>
      </c>
      <c r="H105" s="483">
        <f>26654878.16+7075092.38</f>
        <v>33729970.54</v>
      </c>
    </row>
    <row r="106" spans="1:8" ht="63.75" hidden="1">
      <c r="A106" s="5" t="s">
        <v>65</v>
      </c>
      <c r="B106" s="5"/>
      <c r="C106" s="195" t="s">
        <v>533</v>
      </c>
      <c r="D106" s="195" t="s">
        <v>102</v>
      </c>
      <c r="E106" s="196" t="s">
        <v>66</v>
      </c>
      <c r="F106" s="195"/>
      <c r="G106" s="571">
        <f>G107</f>
        <v>0</v>
      </c>
      <c r="H106" s="571">
        <f>H107</f>
        <v>0</v>
      </c>
    </row>
    <row r="107" spans="1:8" ht="36" hidden="1">
      <c r="A107" s="9" t="s">
        <v>744</v>
      </c>
      <c r="B107" s="9"/>
      <c r="C107" s="195" t="s">
        <v>533</v>
      </c>
      <c r="D107" s="195" t="s">
        <v>102</v>
      </c>
      <c r="E107" s="196" t="s">
        <v>745</v>
      </c>
      <c r="F107" s="195"/>
      <c r="G107" s="571">
        <f>G108</f>
        <v>0</v>
      </c>
      <c r="H107" s="571">
        <f>H108</f>
        <v>0</v>
      </c>
    </row>
    <row r="108" spans="1:8" ht="38.25" hidden="1">
      <c r="A108" s="5" t="s">
        <v>221</v>
      </c>
      <c r="B108" s="5"/>
      <c r="C108" s="195" t="s">
        <v>533</v>
      </c>
      <c r="D108" s="195" t="s">
        <v>102</v>
      </c>
      <c r="E108" s="196" t="s">
        <v>745</v>
      </c>
      <c r="F108" s="195">
        <v>400</v>
      </c>
      <c r="G108" s="488"/>
      <c r="H108" s="488"/>
    </row>
    <row r="109" spans="1:8" ht="114.75">
      <c r="A109" s="4" t="s">
        <v>260</v>
      </c>
      <c r="B109" s="4"/>
      <c r="C109" s="195" t="s">
        <v>533</v>
      </c>
      <c r="D109" s="195" t="s">
        <v>102</v>
      </c>
      <c r="E109" s="199" t="s">
        <v>30</v>
      </c>
      <c r="F109" s="195"/>
      <c r="G109" s="571">
        <f aca="true" t="shared" si="11" ref="G109:H111">G110</f>
        <v>200272</v>
      </c>
      <c r="H109" s="571">
        <f t="shared" si="11"/>
        <v>0</v>
      </c>
    </row>
    <row r="110" spans="1:8" ht="102">
      <c r="A110" s="8" t="s">
        <v>99</v>
      </c>
      <c r="B110" s="8"/>
      <c r="C110" s="195" t="s">
        <v>533</v>
      </c>
      <c r="D110" s="195" t="s">
        <v>102</v>
      </c>
      <c r="E110" s="196" t="s">
        <v>449</v>
      </c>
      <c r="F110" s="195"/>
      <c r="G110" s="571">
        <f t="shared" si="11"/>
        <v>200272</v>
      </c>
      <c r="H110" s="571">
        <f t="shared" si="11"/>
        <v>0</v>
      </c>
    </row>
    <row r="111" spans="1:8" ht="63.75">
      <c r="A111" s="12" t="s">
        <v>629</v>
      </c>
      <c r="B111" s="12"/>
      <c r="C111" s="195" t="s">
        <v>533</v>
      </c>
      <c r="D111" s="195" t="s">
        <v>102</v>
      </c>
      <c r="E111" s="196" t="s">
        <v>347</v>
      </c>
      <c r="F111" s="195"/>
      <c r="G111" s="571">
        <f t="shared" si="11"/>
        <v>200272</v>
      </c>
      <c r="H111" s="571">
        <f t="shared" si="11"/>
        <v>0</v>
      </c>
    </row>
    <row r="112" spans="1:8" ht="12.75">
      <c r="A112" s="5" t="s">
        <v>77</v>
      </c>
      <c r="B112" s="5"/>
      <c r="C112" s="195" t="s">
        <v>533</v>
      </c>
      <c r="D112" s="195" t="s">
        <v>102</v>
      </c>
      <c r="E112" s="196" t="s">
        <v>347</v>
      </c>
      <c r="F112" s="195">
        <v>800</v>
      </c>
      <c r="G112" s="488">
        <v>200272</v>
      </c>
      <c r="H112" s="488">
        <v>0</v>
      </c>
    </row>
    <row r="113" spans="1:8" ht="25.5">
      <c r="A113" s="4" t="s">
        <v>551</v>
      </c>
      <c r="B113" s="4"/>
      <c r="C113" s="213" t="s">
        <v>533</v>
      </c>
      <c r="D113" s="213">
        <v>12</v>
      </c>
      <c r="E113" s="199"/>
      <c r="F113" s="213"/>
      <c r="G113" s="571">
        <f>G114+G118</f>
        <v>1090523</v>
      </c>
      <c r="H113" s="571">
        <f>H114+H118</f>
        <v>206512</v>
      </c>
    </row>
    <row r="114" spans="1:8" ht="63.75">
      <c r="A114" s="211" t="s">
        <v>48</v>
      </c>
      <c r="B114" s="211"/>
      <c r="C114" s="195" t="s">
        <v>533</v>
      </c>
      <c r="D114" s="195">
        <v>12</v>
      </c>
      <c r="E114" s="196" t="s">
        <v>630</v>
      </c>
      <c r="F114" s="195"/>
      <c r="G114" s="571">
        <f aca="true" t="shared" si="12" ref="G114:H116">G115</f>
        <v>55000</v>
      </c>
      <c r="H114" s="571">
        <f t="shared" si="12"/>
        <v>18774</v>
      </c>
    </row>
    <row r="115" spans="1:8" ht="36">
      <c r="A115" s="9" t="s">
        <v>633</v>
      </c>
      <c r="B115" s="9"/>
      <c r="C115" s="195" t="s">
        <v>533</v>
      </c>
      <c r="D115" s="195">
        <v>12</v>
      </c>
      <c r="E115" s="196" t="s">
        <v>632</v>
      </c>
      <c r="F115" s="195"/>
      <c r="G115" s="571">
        <f t="shared" si="12"/>
        <v>55000</v>
      </c>
      <c r="H115" s="571">
        <f t="shared" si="12"/>
        <v>18774</v>
      </c>
    </row>
    <row r="116" spans="1:8" ht="48">
      <c r="A116" s="9" t="s">
        <v>631</v>
      </c>
      <c r="B116" s="9"/>
      <c r="C116" s="195" t="s">
        <v>533</v>
      </c>
      <c r="D116" s="195">
        <v>12</v>
      </c>
      <c r="E116" s="196" t="s">
        <v>98</v>
      </c>
      <c r="F116" s="195"/>
      <c r="G116" s="571">
        <f t="shared" si="12"/>
        <v>55000</v>
      </c>
      <c r="H116" s="571">
        <f t="shared" si="12"/>
        <v>18774</v>
      </c>
    </row>
    <row r="117" spans="1:8" ht="12.75">
      <c r="A117" s="193" t="s">
        <v>77</v>
      </c>
      <c r="B117" s="193"/>
      <c r="C117" s="191" t="s">
        <v>533</v>
      </c>
      <c r="D117" s="191">
        <v>12</v>
      </c>
      <c r="E117" s="192" t="s">
        <v>98</v>
      </c>
      <c r="F117" s="191">
        <v>200</v>
      </c>
      <c r="G117" s="574">
        <f>20000+35000</f>
        <v>55000</v>
      </c>
      <c r="H117" s="574">
        <v>18774</v>
      </c>
    </row>
    <row r="118" spans="1:8" ht="38.25">
      <c r="A118" s="88" t="s">
        <v>626</v>
      </c>
      <c r="B118" s="9"/>
      <c r="C118" s="85" t="s">
        <v>533</v>
      </c>
      <c r="D118" s="85">
        <v>12</v>
      </c>
      <c r="E118" s="110" t="s">
        <v>14</v>
      </c>
      <c r="F118" s="85"/>
      <c r="G118" s="575">
        <f>G120+G122+G124</f>
        <v>1035523</v>
      </c>
      <c r="H118" s="575">
        <f>H120+H122+H124</f>
        <v>187738</v>
      </c>
    </row>
    <row r="119" spans="1:8" ht="24">
      <c r="A119" s="9" t="s">
        <v>636</v>
      </c>
      <c r="B119" s="9"/>
      <c r="C119" s="195" t="s">
        <v>533</v>
      </c>
      <c r="D119" s="195">
        <v>12</v>
      </c>
      <c r="E119" s="196" t="s">
        <v>16</v>
      </c>
      <c r="F119" s="195"/>
      <c r="G119" s="571">
        <f>G120</f>
        <v>65000</v>
      </c>
      <c r="H119" s="571">
        <f>H120</f>
        <v>187738</v>
      </c>
    </row>
    <row r="120" spans="1:8" ht="48">
      <c r="A120" s="9" t="s">
        <v>96</v>
      </c>
      <c r="B120" s="9"/>
      <c r="C120" s="195" t="s">
        <v>533</v>
      </c>
      <c r="D120" s="195">
        <v>12</v>
      </c>
      <c r="E120" s="196" t="s">
        <v>97</v>
      </c>
      <c r="F120" s="195"/>
      <c r="G120" s="571">
        <f>G121</f>
        <v>65000</v>
      </c>
      <c r="H120" s="571">
        <f>H121</f>
        <v>187738</v>
      </c>
    </row>
    <row r="121" spans="1:8" ht="36">
      <c r="A121" s="9" t="s">
        <v>228</v>
      </c>
      <c r="B121" s="9"/>
      <c r="C121" s="195" t="s">
        <v>533</v>
      </c>
      <c r="D121" s="195">
        <v>12</v>
      </c>
      <c r="E121" s="196" t="s">
        <v>97</v>
      </c>
      <c r="F121" s="195">
        <v>200</v>
      </c>
      <c r="G121" s="571">
        <f>200000-100000-35000</f>
        <v>65000</v>
      </c>
      <c r="H121" s="571">
        <v>187738</v>
      </c>
    </row>
    <row r="122" spans="1:8" ht="51">
      <c r="A122" s="398" t="s">
        <v>905</v>
      </c>
      <c r="B122" s="336"/>
      <c r="C122" s="147" t="s">
        <v>533</v>
      </c>
      <c r="D122" s="147">
        <v>12</v>
      </c>
      <c r="E122" s="196" t="s">
        <v>906</v>
      </c>
      <c r="F122" s="195"/>
      <c r="G122" s="571">
        <f>G123</f>
        <v>291157</v>
      </c>
      <c r="H122" s="571">
        <f>H123</f>
        <v>0</v>
      </c>
    </row>
    <row r="123" spans="1:8" ht="36">
      <c r="A123" s="336" t="s">
        <v>228</v>
      </c>
      <c r="B123" s="336"/>
      <c r="C123" s="147" t="s">
        <v>533</v>
      </c>
      <c r="D123" s="147">
        <v>12</v>
      </c>
      <c r="E123" s="196" t="s">
        <v>906</v>
      </c>
      <c r="F123" s="195">
        <v>200</v>
      </c>
      <c r="G123" s="571">
        <v>291157</v>
      </c>
      <c r="H123" s="571"/>
    </row>
    <row r="124" spans="1:8" ht="51">
      <c r="A124" s="398" t="s">
        <v>905</v>
      </c>
      <c r="B124" s="336"/>
      <c r="C124" s="147" t="s">
        <v>533</v>
      </c>
      <c r="D124" s="147">
        <v>12</v>
      </c>
      <c r="E124" s="196" t="s">
        <v>907</v>
      </c>
      <c r="F124" s="195"/>
      <c r="G124" s="571">
        <f>G125</f>
        <v>679366</v>
      </c>
      <c r="H124" s="571">
        <f>H125</f>
        <v>0</v>
      </c>
    </row>
    <row r="125" spans="1:8" ht="36">
      <c r="A125" s="336" t="s">
        <v>228</v>
      </c>
      <c r="B125" s="336"/>
      <c r="C125" s="147" t="s">
        <v>533</v>
      </c>
      <c r="D125" s="147">
        <v>12</v>
      </c>
      <c r="E125" s="366" t="s">
        <v>907</v>
      </c>
      <c r="F125" s="128">
        <v>200</v>
      </c>
      <c r="G125" s="488">
        <v>679366</v>
      </c>
      <c r="H125" s="575"/>
    </row>
    <row r="126" spans="1:8" ht="25.5">
      <c r="A126" s="174" t="s">
        <v>538</v>
      </c>
      <c r="B126" s="174"/>
      <c r="C126" s="172" t="s">
        <v>653</v>
      </c>
      <c r="D126" s="216" t="s">
        <v>462</v>
      </c>
      <c r="E126" s="172" t="s">
        <v>87</v>
      </c>
      <c r="F126" s="172" t="s">
        <v>87</v>
      </c>
      <c r="G126" s="570">
        <f>G127+G141</f>
        <v>11778119.2</v>
      </c>
      <c r="H126" s="570">
        <f>H127+H141</f>
        <v>10074167.84</v>
      </c>
    </row>
    <row r="127" spans="1:8" ht="12.75">
      <c r="A127" s="214" t="s">
        <v>235</v>
      </c>
      <c r="B127" s="214"/>
      <c r="C127" s="213" t="s">
        <v>653</v>
      </c>
      <c r="D127" s="228" t="s">
        <v>530</v>
      </c>
      <c r="E127" s="227"/>
      <c r="F127" s="227"/>
      <c r="G127" s="571">
        <f>G128</f>
        <v>684000</v>
      </c>
      <c r="H127" s="571">
        <f>H128</f>
        <v>288308</v>
      </c>
    </row>
    <row r="128" spans="1:8" ht="89.25">
      <c r="A128" s="211" t="s">
        <v>479</v>
      </c>
      <c r="B128" s="211"/>
      <c r="C128" s="195" t="s">
        <v>653</v>
      </c>
      <c r="D128" s="223" t="s">
        <v>530</v>
      </c>
      <c r="E128" s="196" t="s">
        <v>32</v>
      </c>
      <c r="F128" s="227"/>
      <c r="G128" s="571">
        <f>G129+G137</f>
        <v>684000</v>
      </c>
      <c r="H128" s="571">
        <f>H129+H137</f>
        <v>288308</v>
      </c>
    </row>
    <row r="129" spans="1:8" ht="132" customHeight="1" hidden="1">
      <c r="A129" s="4" t="s">
        <v>215</v>
      </c>
      <c r="B129" s="4"/>
      <c r="C129" s="195" t="s">
        <v>653</v>
      </c>
      <c r="D129" s="223" t="s">
        <v>530</v>
      </c>
      <c r="E129" s="196" t="s">
        <v>216</v>
      </c>
      <c r="F129" s="227"/>
      <c r="G129" s="571">
        <f>G130</f>
        <v>0</v>
      </c>
      <c r="H129" s="571">
        <f>H130</f>
        <v>0</v>
      </c>
    </row>
    <row r="130" spans="1:8" ht="51" hidden="1">
      <c r="A130" s="308" t="s">
        <v>749</v>
      </c>
      <c r="B130" s="308"/>
      <c r="C130" s="195" t="s">
        <v>653</v>
      </c>
      <c r="D130" s="223" t="s">
        <v>530</v>
      </c>
      <c r="E130" s="196" t="s">
        <v>64</v>
      </c>
      <c r="F130" s="227"/>
      <c r="G130" s="571">
        <f>G131+G133+G135</f>
        <v>0</v>
      </c>
      <c r="H130" s="571">
        <f>H135</f>
        <v>0</v>
      </c>
    </row>
    <row r="131" spans="1:8" ht="63.75" hidden="1">
      <c r="A131" s="308" t="s">
        <v>92</v>
      </c>
      <c r="B131" s="308"/>
      <c r="C131" s="195" t="s">
        <v>653</v>
      </c>
      <c r="D131" s="223" t="s">
        <v>530</v>
      </c>
      <c r="E131" s="196" t="s">
        <v>705</v>
      </c>
      <c r="F131" s="227"/>
      <c r="G131" s="571">
        <f>G132</f>
        <v>0</v>
      </c>
      <c r="H131" s="571"/>
    </row>
    <row r="132" spans="1:8" ht="38.25" hidden="1">
      <c r="A132" s="5" t="s">
        <v>221</v>
      </c>
      <c r="B132" s="308"/>
      <c r="C132" s="195" t="s">
        <v>653</v>
      </c>
      <c r="D132" s="223" t="s">
        <v>530</v>
      </c>
      <c r="E132" s="196" t="s">
        <v>705</v>
      </c>
      <c r="F132" s="195">
        <v>400</v>
      </c>
      <c r="G132" s="571"/>
      <c r="H132" s="571"/>
    </row>
    <row r="133" spans="1:8" ht="51" hidden="1">
      <c r="A133" s="308" t="s">
        <v>93</v>
      </c>
      <c r="B133" s="308"/>
      <c r="C133" s="195" t="s">
        <v>653</v>
      </c>
      <c r="D133" s="223" t="s">
        <v>530</v>
      </c>
      <c r="E133" s="196" t="s">
        <v>706</v>
      </c>
      <c r="F133" s="227"/>
      <c r="G133" s="571">
        <f>G134</f>
        <v>0</v>
      </c>
      <c r="H133" s="571"/>
    </row>
    <row r="134" spans="1:8" ht="38.25" hidden="1">
      <c r="A134" s="5" t="s">
        <v>221</v>
      </c>
      <c r="B134" s="308"/>
      <c r="C134" s="195" t="s">
        <v>653</v>
      </c>
      <c r="D134" s="223" t="s">
        <v>530</v>
      </c>
      <c r="E134" s="196" t="s">
        <v>706</v>
      </c>
      <c r="F134" s="195">
        <v>400</v>
      </c>
      <c r="G134" s="571"/>
      <c r="H134" s="571"/>
    </row>
    <row r="135" spans="1:8" ht="114.75" hidden="1">
      <c r="A135" s="309" t="s">
        <v>67</v>
      </c>
      <c r="B135" s="308"/>
      <c r="C135" s="195" t="s">
        <v>653</v>
      </c>
      <c r="D135" s="223" t="s">
        <v>530</v>
      </c>
      <c r="E135" s="196" t="s">
        <v>292</v>
      </c>
      <c r="F135" s="227"/>
      <c r="G135" s="571">
        <f>G136</f>
        <v>0</v>
      </c>
      <c r="H135" s="571">
        <f>H136</f>
        <v>0</v>
      </c>
    </row>
    <row r="136" spans="1:8" ht="38.25" hidden="1">
      <c r="A136" s="5" t="s">
        <v>221</v>
      </c>
      <c r="B136" s="5"/>
      <c r="C136" s="195" t="s">
        <v>653</v>
      </c>
      <c r="D136" s="223" t="s">
        <v>530</v>
      </c>
      <c r="E136" s="196" t="s">
        <v>292</v>
      </c>
      <c r="F136" s="195">
        <v>400</v>
      </c>
      <c r="G136" s="488"/>
      <c r="H136" s="488"/>
    </row>
    <row r="137" spans="1:8" ht="114.75">
      <c r="A137" s="4" t="s">
        <v>480</v>
      </c>
      <c r="B137" s="4"/>
      <c r="C137" s="195" t="s">
        <v>653</v>
      </c>
      <c r="D137" s="223" t="s">
        <v>530</v>
      </c>
      <c r="E137" s="199" t="s">
        <v>556</v>
      </c>
      <c r="F137" s="227"/>
      <c r="G137" s="571">
        <f>G138</f>
        <v>684000</v>
      </c>
      <c r="H137" s="571">
        <f>H138</f>
        <v>288308</v>
      </c>
    </row>
    <row r="138" spans="1:8" ht="38.25">
      <c r="A138" s="7" t="s">
        <v>234</v>
      </c>
      <c r="B138" s="7"/>
      <c r="C138" s="195" t="s">
        <v>653</v>
      </c>
      <c r="D138" s="223" t="s">
        <v>530</v>
      </c>
      <c r="E138" s="196" t="s">
        <v>267</v>
      </c>
      <c r="F138" s="227"/>
      <c r="G138" s="571">
        <f>G139</f>
        <v>684000</v>
      </c>
      <c r="H138" s="571">
        <f>H139</f>
        <v>288308</v>
      </c>
    </row>
    <row r="139" spans="1:8" ht="36">
      <c r="A139" s="9" t="s">
        <v>266</v>
      </c>
      <c r="B139" s="9"/>
      <c r="C139" s="195" t="s">
        <v>653</v>
      </c>
      <c r="D139" s="223" t="s">
        <v>530</v>
      </c>
      <c r="E139" s="196" t="s">
        <v>265</v>
      </c>
      <c r="F139" s="227"/>
      <c r="G139" s="571">
        <f>SUM(G140:G140)</f>
        <v>684000</v>
      </c>
      <c r="H139" s="571">
        <f>SUM(H140:H140)</f>
        <v>288308</v>
      </c>
    </row>
    <row r="140" spans="1:8" ht="38.25">
      <c r="A140" s="5" t="s">
        <v>228</v>
      </c>
      <c r="B140" s="5"/>
      <c r="C140" s="195" t="s">
        <v>653</v>
      </c>
      <c r="D140" s="223" t="s">
        <v>530</v>
      </c>
      <c r="E140" s="196" t="s">
        <v>265</v>
      </c>
      <c r="F140" s="195">
        <v>200</v>
      </c>
      <c r="G140" s="488">
        <v>684000</v>
      </c>
      <c r="H140" s="488">
        <f>642063-353755</f>
        <v>288308</v>
      </c>
    </row>
    <row r="141" spans="1:8" ht="12.75">
      <c r="A141" s="214" t="s">
        <v>560</v>
      </c>
      <c r="B141" s="214"/>
      <c r="C141" s="213" t="s">
        <v>653</v>
      </c>
      <c r="D141" s="213" t="s">
        <v>101</v>
      </c>
      <c r="E141" s="213" t="s">
        <v>87</v>
      </c>
      <c r="F141" s="213" t="s">
        <v>87</v>
      </c>
      <c r="G141" s="571">
        <f>G142+G148</f>
        <v>11094119.2</v>
      </c>
      <c r="H141" s="571">
        <f>H142+H148</f>
        <v>9785859.84</v>
      </c>
    </row>
    <row r="142" spans="1:8" ht="89.25">
      <c r="A142" s="211" t="s">
        <v>479</v>
      </c>
      <c r="B142" s="211"/>
      <c r="C142" s="195" t="s">
        <v>653</v>
      </c>
      <c r="D142" s="195" t="s">
        <v>101</v>
      </c>
      <c r="E142" s="196" t="s">
        <v>32</v>
      </c>
      <c r="F142" s="195" t="s">
        <v>87</v>
      </c>
      <c r="G142" s="571">
        <f aca="true" t="shared" si="13" ref="G142:H144">G143</f>
        <v>5565232.2</v>
      </c>
      <c r="H142" s="571">
        <f t="shared" si="13"/>
        <v>3701671.84</v>
      </c>
    </row>
    <row r="143" spans="1:8" ht="114.75">
      <c r="A143" s="4" t="s">
        <v>480</v>
      </c>
      <c r="B143" s="4"/>
      <c r="C143" s="195" t="s">
        <v>653</v>
      </c>
      <c r="D143" s="195" t="s">
        <v>101</v>
      </c>
      <c r="E143" s="199" t="s">
        <v>556</v>
      </c>
      <c r="F143" s="198" t="s">
        <v>87</v>
      </c>
      <c r="G143" s="571">
        <f t="shared" si="13"/>
        <v>5565232.2</v>
      </c>
      <c r="H143" s="571">
        <f t="shared" si="13"/>
        <v>3701671.84</v>
      </c>
    </row>
    <row r="144" spans="1:8" ht="38.25">
      <c r="A144" s="7" t="s">
        <v>353</v>
      </c>
      <c r="B144" s="7"/>
      <c r="C144" s="195" t="s">
        <v>653</v>
      </c>
      <c r="D144" s="195" t="s">
        <v>101</v>
      </c>
      <c r="E144" s="196" t="s">
        <v>454</v>
      </c>
      <c r="F144" s="198"/>
      <c r="G144" s="571">
        <f t="shared" si="13"/>
        <v>5565232.2</v>
      </c>
      <c r="H144" s="571">
        <f t="shared" si="13"/>
        <v>3701671.84</v>
      </c>
    </row>
    <row r="145" spans="1:8" ht="12.75">
      <c r="A145" s="12" t="s">
        <v>732</v>
      </c>
      <c r="B145" s="12"/>
      <c r="C145" s="195" t="s">
        <v>653</v>
      </c>
      <c r="D145" s="195" t="s">
        <v>101</v>
      </c>
      <c r="E145" s="196" t="s">
        <v>455</v>
      </c>
      <c r="F145" s="195" t="s">
        <v>87</v>
      </c>
      <c r="G145" s="571">
        <f>SUM(G146:G147)</f>
        <v>5565232.2</v>
      </c>
      <c r="H145" s="571">
        <f>SUM(H146:H147)</f>
        <v>3701671.84</v>
      </c>
    </row>
    <row r="146" spans="1:8" ht="38.25">
      <c r="A146" s="5" t="s">
        <v>228</v>
      </c>
      <c r="B146" s="5"/>
      <c r="C146" s="195" t="s">
        <v>653</v>
      </c>
      <c r="D146" s="195" t="s">
        <v>101</v>
      </c>
      <c r="E146" s="196" t="s">
        <v>455</v>
      </c>
      <c r="F146" s="195">
        <v>200</v>
      </c>
      <c r="G146" s="488">
        <v>2467763</v>
      </c>
      <c r="H146" s="488">
        <v>2316462</v>
      </c>
    </row>
    <row r="147" spans="1:8" ht="12.75">
      <c r="A147" s="5" t="s">
        <v>77</v>
      </c>
      <c r="B147" s="5"/>
      <c r="C147" s="195" t="s">
        <v>653</v>
      </c>
      <c r="D147" s="195" t="s">
        <v>101</v>
      </c>
      <c r="E147" s="196" t="s">
        <v>455</v>
      </c>
      <c r="F147" s="195">
        <v>800</v>
      </c>
      <c r="G147" s="483">
        <f>4632046-1534576.8</f>
        <v>3097469.2</v>
      </c>
      <c r="H147" s="488">
        <v>1385209.84</v>
      </c>
    </row>
    <row r="148" spans="1:8" ht="63.75">
      <c r="A148" s="211" t="s">
        <v>475</v>
      </c>
      <c r="B148" s="211"/>
      <c r="C148" s="195" t="s">
        <v>653</v>
      </c>
      <c r="D148" s="195" t="s">
        <v>101</v>
      </c>
      <c r="E148" s="196" t="s">
        <v>638</v>
      </c>
      <c r="F148" s="195"/>
      <c r="G148" s="571">
        <f aca="true" t="shared" si="14" ref="G148:H150">G149</f>
        <v>5528887</v>
      </c>
      <c r="H148" s="571">
        <f t="shared" si="14"/>
        <v>6084188</v>
      </c>
    </row>
    <row r="149" spans="1:8" ht="28.5" customHeight="1">
      <c r="A149" s="7" t="s">
        <v>709</v>
      </c>
      <c r="B149" s="7"/>
      <c r="C149" s="195" t="s">
        <v>653</v>
      </c>
      <c r="D149" s="195" t="s">
        <v>101</v>
      </c>
      <c r="E149" s="196" t="s">
        <v>336</v>
      </c>
      <c r="F149" s="195"/>
      <c r="G149" s="571">
        <f t="shared" si="14"/>
        <v>5528887</v>
      </c>
      <c r="H149" s="571">
        <f t="shared" si="14"/>
        <v>6084188</v>
      </c>
    </row>
    <row r="150" spans="1:8" ht="25.5">
      <c r="A150" s="310" t="s">
        <v>338</v>
      </c>
      <c r="B150" s="310"/>
      <c r="C150" s="195" t="s">
        <v>653</v>
      </c>
      <c r="D150" s="195" t="s">
        <v>101</v>
      </c>
      <c r="E150" s="196" t="s">
        <v>337</v>
      </c>
      <c r="F150" s="195"/>
      <c r="G150" s="571">
        <f t="shared" si="14"/>
        <v>5528887</v>
      </c>
      <c r="H150" s="571">
        <f t="shared" si="14"/>
        <v>6084188</v>
      </c>
    </row>
    <row r="151" spans="1:8" ht="38.25">
      <c r="A151" s="193" t="s">
        <v>228</v>
      </c>
      <c r="B151" s="193"/>
      <c r="C151" s="191" t="s">
        <v>653</v>
      </c>
      <c r="D151" s="191" t="s">
        <v>101</v>
      </c>
      <c r="E151" s="192" t="s">
        <v>337</v>
      </c>
      <c r="F151" s="191">
        <v>200</v>
      </c>
      <c r="G151" s="574">
        <f>500000+5028887</f>
        <v>5528887</v>
      </c>
      <c r="H151" s="574">
        <f>500000+5584188</f>
        <v>6084188</v>
      </c>
    </row>
    <row r="152" spans="1:8" ht="12.75">
      <c r="A152" s="174" t="s">
        <v>561</v>
      </c>
      <c r="B152" s="174"/>
      <c r="C152" s="172" t="s">
        <v>654</v>
      </c>
      <c r="D152" s="216" t="s">
        <v>462</v>
      </c>
      <c r="E152" s="172" t="s">
        <v>87</v>
      </c>
      <c r="F152" s="172" t="s">
        <v>87</v>
      </c>
      <c r="G152" s="570">
        <f>G153+G164+G200+G206+G219</f>
        <v>309080370</v>
      </c>
      <c r="H152" s="570">
        <f>H153+H164+H200+H206+H219</f>
        <v>240964126</v>
      </c>
    </row>
    <row r="153" spans="1:8" ht="12.75">
      <c r="A153" s="214" t="s">
        <v>562</v>
      </c>
      <c r="B153" s="214"/>
      <c r="C153" s="213" t="s">
        <v>654</v>
      </c>
      <c r="D153" s="213" t="s">
        <v>530</v>
      </c>
      <c r="E153" s="213" t="s">
        <v>87</v>
      </c>
      <c r="F153" s="213" t="s">
        <v>87</v>
      </c>
      <c r="G153" s="571">
        <f aca="true" t="shared" si="15" ref="G153:H155">G154</f>
        <v>92601566</v>
      </c>
      <c r="H153" s="571">
        <f t="shared" si="15"/>
        <v>90778726</v>
      </c>
    </row>
    <row r="154" spans="1:8" ht="51">
      <c r="A154" s="211" t="s">
        <v>277</v>
      </c>
      <c r="B154" s="211"/>
      <c r="C154" s="195" t="s">
        <v>654</v>
      </c>
      <c r="D154" s="195" t="s">
        <v>530</v>
      </c>
      <c r="E154" s="196" t="s">
        <v>557</v>
      </c>
      <c r="F154" s="195" t="s">
        <v>87</v>
      </c>
      <c r="G154" s="571">
        <f t="shared" si="15"/>
        <v>92601566</v>
      </c>
      <c r="H154" s="571">
        <f t="shared" si="15"/>
        <v>90778726</v>
      </c>
    </row>
    <row r="155" spans="1:8" ht="63.75">
      <c r="A155" s="4" t="s">
        <v>278</v>
      </c>
      <c r="B155" s="4"/>
      <c r="C155" s="195" t="s">
        <v>654</v>
      </c>
      <c r="D155" s="195" t="s">
        <v>530</v>
      </c>
      <c r="E155" s="199" t="s">
        <v>558</v>
      </c>
      <c r="F155" s="198" t="s">
        <v>87</v>
      </c>
      <c r="G155" s="571">
        <f t="shared" si="15"/>
        <v>92601566</v>
      </c>
      <c r="H155" s="571">
        <f t="shared" si="15"/>
        <v>90778726</v>
      </c>
    </row>
    <row r="156" spans="1:8" ht="38.25">
      <c r="A156" s="7" t="s">
        <v>456</v>
      </c>
      <c r="B156" s="7"/>
      <c r="C156" s="195" t="s">
        <v>654</v>
      </c>
      <c r="D156" s="195" t="s">
        <v>530</v>
      </c>
      <c r="E156" s="196" t="s">
        <v>559</v>
      </c>
      <c r="F156" s="198"/>
      <c r="G156" s="571">
        <f>G157+G160</f>
        <v>92601566</v>
      </c>
      <c r="H156" s="571">
        <f>H157+H160</f>
        <v>90778726</v>
      </c>
    </row>
    <row r="157" spans="1:8" ht="153">
      <c r="A157" s="5" t="s">
        <v>298</v>
      </c>
      <c r="B157" s="5"/>
      <c r="C157" s="195" t="s">
        <v>654</v>
      </c>
      <c r="D157" s="195" t="s">
        <v>530</v>
      </c>
      <c r="E157" s="196" t="s">
        <v>299</v>
      </c>
      <c r="F157" s="195" t="s">
        <v>87</v>
      </c>
      <c r="G157" s="571">
        <f>SUM(G158:G159)</f>
        <v>55488082</v>
      </c>
      <c r="H157" s="571">
        <f>SUM(H158:H159)</f>
        <v>55488082</v>
      </c>
    </row>
    <row r="158" spans="1:8" ht="89.25">
      <c r="A158" s="5" t="s">
        <v>735</v>
      </c>
      <c r="B158" s="5"/>
      <c r="C158" s="195" t="s">
        <v>654</v>
      </c>
      <c r="D158" s="195" t="s">
        <v>530</v>
      </c>
      <c r="E158" s="196" t="s">
        <v>299</v>
      </c>
      <c r="F158" s="195" t="s">
        <v>592</v>
      </c>
      <c r="G158" s="488">
        <v>55063202</v>
      </c>
      <c r="H158" s="488">
        <v>55063202</v>
      </c>
    </row>
    <row r="159" spans="1:8" ht="38.25">
      <c r="A159" s="5" t="s">
        <v>228</v>
      </c>
      <c r="B159" s="5"/>
      <c r="C159" s="195" t="s">
        <v>654</v>
      </c>
      <c r="D159" s="195" t="s">
        <v>530</v>
      </c>
      <c r="E159" s="196" t="s">
        <v>299</v>
      </c>
      <c r="F159" s="195" t="s">
        <v>74</v>
      </c>
      <c r="G159" s="488">
        <v>424880</v>
      </c>
      <c r="H159" s="488">
        <v>424880</v>
      </c>
    </row>
    <row r="160" spans="1:8" ht="38.25">
      <c r="A160" s="198" t="s">
        <v>494</v>
      </c>
      <c r="B160" s="198"/>
      <c r="C160" s="195" t="s">
        <v>654</v>
      </c>
      <c r="D160" s="195" t="s">
        <v>530</v>
      </c>
      <c r="E160" s="196" t="s">
        <v>300</v>
      </c>
      <c r="F160" s="195"/>
      <c r="G160" s="571">
        <f>SUM(G161:G163)</f>
        <v>37113484</v>
      </c>
      <c r="H160" s="571">
        <f>SUM(H161:H163)</f>
        <v>35290644</v>
      </c>
    </row>
    <row r="161" spans="1:8" ht="89.25">
      <c r="A161" s="5" t="s">
        <v>735</v>
      </c>
      <c r="B161" s="5"/>
      <c r="C161" s="195" t="s">
        <v>654</v>
      </c>
      <c r="D161" s="195" t="s">
        <v>530</v>
      </c>
      <c r="E161" s="196" t="s">
        <v>300</v>
      </c>
      <c r="F161" s="195">
        <v>100</v>
      </c>
      <c r="G161" s="488">
        <v>18466929</v>
      </c>
      <c r="H161" s="488">
        <v>17334708</v>
      </c>
    </row>
    <row r="162" spans="1:8" ht="38.25">
      <c r="A162" s="5" t="s">
        <v>228</v>
      </c>
      <c r="B162" s="5"/>
      <c r="C162" s="195" t="s">
        <v>654</v>
      </c>
      <c r="D162" s="195" t="s">
        <v>530</v>
      </c>
      <c r="E162" s="196" t="s">
        <v>300</v>
      </c>
      <c r="F162" s="195">
        <v>200</v>
      </c>
      <c r="G162" s="488">
        <v>16366724</v>
      </c>
      <c r="H162" s="488">
        <v>15815883</v>
      </c>
    </row>
    <row r="163" spans="1:8" ht="12.75">
      <c r="A163" s="5" t="s">
        <v>77</v>
      </c>
      <c r="B163" s="5"/>
      <c r="C163" s="195" t="s">
        <v>654</v>
      </c>
      <c r="D163" s="195" t="s">
        <v>530</v>
      </c>
      <c r="E163" s="196" t="s">
        <v>300</v>
      </c>
      <c r="F163" s="195">
        <v>800</v>
      </c>
      <c r="G163" s="488">
        <v>2279831</v>
      </c>
      <c r="H163" s="488">
        <v>2140053</v>
      </c>
    </row>
    <row r="164" spans="1:8" ht="12.75">
      <c r="A164" s="214" t="s">
        <v>563</v>
      </c>
      <c r="B164" s="214"/>
      <c r="C164" s="213" t="s">
        <v>654</v>
      </c>
      <c r="D164" s="213" t="s">
        <v>532</v>
      </c>
      <c r="E164" s="213" t="s">
        <v>87</v>
      </c>
      <c r="F164" s="213" t="s">
        <v>87</v>
      </c>
      <c r="G164" s="571">
        <f>G165</f>
        <v>190125107</v>
      </c>
      <c r="H164" s="571">
        <f>H165</f>
        <v>124100230</v>
      </c>
    </row>
    <row r="165" spans="1:8" ht="51">
      <c r="A165" s="211" t="s">
        <v>279</v>
      </c>
      <c r="B165" s="211"/>
      <c r="C165" s="195" t="s">
        <v>654</v>
      </c>
      <c r="D165" s="195" t="s">
        <v>532</v>
      </c>
      <c r="E165" s="196" t="s">
        <v>557</v>
      </c>
      <c r="F165" s="195" t="s">
        <v>87</v>
      </c>
      <c r="G165" s="571">
        <f>G166</f>
        <v>190125107</v>
      </c>
      <c r="H165" s="571">
        <f>H166</f>
        <v>124100230</v>
      </c>
    </row>
    <row r="166" spans="1:8" ht="63.75">
      <c r="A166" s="4" t="s">
        <v>278</v>
      </c>
      <c r="B166" s="4"/>
      <c r="C166" s="195" t="s">
        <v>654</v>
      </c>
      <c r="D166" s="195" t="s">
        <v>532</v>
      </c>
      <c r="E166" s="196" t="s">
        <v>558</v>
      </c>
      <c r="F166" s="198" t="s">
        <v>87</v>
      </c>
      <c r="G166" s="571">
        <f>G167+G174+G193+G195+G198+G185</f>
        <v>190125107</v>
      </c>
      <c r="H166" s="571">
        <f>H167+H174+H193+H195+H198+H185</f>
        <v>124100230</v>
      </c>
    </row>
    <row r="167" spans="1:8" ht="38.25">
      <c r="A167" s="7" t="s">
        <v>458</v>
      </c>
      <c r="B167" s="7"/>
      <c r="C167" s="195" t="s">
        <v>654</v>
      </c>
      <c r="D167" s="195" t="s">
        <v>532</v>
      </c>
      <c r="E167" s="196" t="s">
        <v>301</v>
      </c>
      <c r="F167" s="198"/>
      <c r="G167" s="571">
        <f>G168+G172+G170</f>
        <v>115240939</v>
      </c>
      <c r="H167" s="571">
        <f>H168+H172+H170</f>
        <v>114416531</v>
      </c>
    </row>
    <row r="168" spans="1:8" ht="168" customHeight="1">
      <c r="A168" s="5" t="s">
        <v>681</v>
      </c>
      <c r="B168" s="5"/>
      <c r="C168" s="195" t="s">
        <v>654</v>
      </c>
      <c r="D168" s="195" t="s">
        <v>532</v>
      </c>
      <c r="E168" s="196" t="s">
        <v>302</v>
      </c>
      <c r="F168" s="195" t="s">
        <v>87</v>
      </c>
      <c r="G168" s="571">
        <f>G169</f>
        <v>96274514</v>
      </c>
      <c r="H168" s="571">
        <f>H169</f>
        <v>96274514</v>
      </c>
    </row>
    <row r="169" spans="1:8" ht="51">
      <c r="A169" s="5" t="s">
        <v>90</v>
      </c>
      <c r="B169" s="5"/>
      <c r="C169" s="195" t="s">
        <v>654</v>
      </c>
      <c r="D169" s="195" t="s">
        <v>532</v>
      </c>
      <c r="E169" s="196" t="s">
        <v>302</v>
      </c>
      <c r="F169" s="195">
        <v>600</v>
      </c>
      <c r="G169" s="488">
        <v>96274514</v>
      </c>
      <c r="H169" s="488">
        <v>96274514</v>
      </c>
    </row>
    <row r="170" spans="1:8" ht="63.75">
      <c r="A170" s="5" t="s">
        <v>509</v>
      </c>
      <c r="B170" s="5"/>
      <c r="C170" s="195" t="s">
        <v>654</v>
      </c>
      <c r="D170" s="195" t="s">
        <v>532</v>
      </c>
      <c r="E170" s="196" t="s">
        <v>957</v>
      </c>
      <c r="F170" s="195"/>
      <c r="G170" s="488">
        <f>G171</f>
        <v>6498637</v>
      </c>
      <c r="H170" s="488">
        <f>H171</f>
        <v>6438638</v>
      </c>
    </row>
    <row r="171" spans="1:8" ht="51">
      <c r="A171" s="5" t="s">
        <v>90</v>
      </c>
      <c r="B171" s="5"/>
      <c r="C171" s="195" t="s">
        <v>654</v>
      </c>
      <c r="D171" s="195" t="s">
        <v>532</v>
      </c>
      <c r="E171" s="196" t="s">
        <v>957</v>
      </c>
      <c r="F171" s="195">
        <v>600</v>
      </c>
      <c r="G171" s="488">
        <v>6498637</v>
      </c>
      <c r="H171" s="488">
        <v>6438638</v>
      </c>
    </row>
    <row r="172" spans="1:8" ht="38.25">
      <c r="A172" s="198" t="s">
        <v>494</v>
      </c>
      <c r="B172" s="198"/>
      <c r="C172" s="195" t="s">
        <v>654</v>
      </c>
      <c r="D172" s="195" t="s">
        <v>532</v>
      </c>
      <c r="E172" s="196" t="s">
        <v>303</v>
      </c>
      <c r="F172" s="195"/>
      <c r="G172" s="571">
        <f>G173</f>
        <v>12467788</v>
      </c>
      <c r="H172" s="571">
        <f>H173</f>
        <v>11703379</v>
      </c>
    </row>
    <row r="173" spans="1:8" ht="51">
      <c r="A173" s="5" t="s">
        <v>90</v>
      </c>
      <c r="B173" s="5"/>
      <c r="C173" s="195" t="s">
        <v>654</v>
      </c>
      <c r="D173" s="195" t="s">
        <v>532</v>
      </c>
      <c r="E173" s="196" t="s">
        <v>303</v>
      </c>
      <c r="F173" s="195">
        <v>600</v>
      </c>
      <c r="G173" s="488">
        <v>12467788</v>
      </c>
      <c r="H173" s="488">
        <v>11703379</v>
      </c>
    </row>
    <row r="174" spans="1:8" ht="25.5">
      <c r="A174" s="7" t="s">
        <v>459</v>
      </c>
      <c r="B174" s="7"/>
      <c r="C174" s="195" t="s">
        <v>654</v>
      </c>
      <c r="D174" s="195" t="s">
        <v>532</v>
      </c>
      <c r="E174" s="196" t="s">
        <v>304</v>
      </c>
      <c r="F174" s="195"/>
      <c r="G174" s="488">
        <f>G175+G177+G179+G183+G181</f>
        <v>8968504</v>
      </c>
      <c r="H174" s="488">
        <f>H175+H177+H179+H183+H181</f>
        <v>9683699</v>
      </c>
    </row>
    <row r="175" spans="1:8" ht="76.5">
      <c r="A175" s="7" t="s">
        <v>396</v>
      </c>
      <c r="B175" s="49"/>
      <c r="C175" s="195" t="s">
        <v>654</v>
      </c>
      <c r="D175" s="195" t="s">
        <v>532</v>
      </c>
      <c r="E175" s="196" t="s">
        <v>397</v>
      </c>
      <c r="F175" s="195"/>
      <c r="G175" s="571">
        <f>G176</f>
        <v>6138789</v>
      </c>
      <c r="H175" s="571">
        <f>H176</f>
        <v>6324077</v>
      </c>
    </row>
    <row r="176" spans="1:8" ht="51">
      <c r="A176" s="5" t="s">
        <v>90</v>
      </c>
      <c r="B176" s="5"/>
      <c r="C176" s="195" t="s">
        <v>654</v>
      </c>
      <c r="D176" s="195" t="s">
        <v>532</v>
      </c>
      <c r="E176" s="196" t="s">
        <v>397</v>
      </c>
      <c r="F176" s="195">
        <v>600</v>
      </c>
      <c r="G176" s="488">
        <f>6093224+45565</f>
        <v>6138789</v>
      </c>
      <c r="H176" s="488">
        <f>6274579+49498</f>
        <v>6324077</v>
      </c>
    </row>
    <row r="177" spans="1:8" ht="102">
      <c r="A177" s="309" t="s">
        <v>746</v>
      </c>
      <c r="B177" s="309"/>
      <c r="C177" s="195" t="s">
        <v>654</v>
      </c>
      <c r="D177" s="195" t="s">
        <v>532</v>
      </c>
      <c r="E177" s="196" t="s">
        <v>747</v>
      </c>
      <c r="F177" s="195"/>
      <c r="G177" s="488">
        <f>G178</f>
        <v>318065</v>
      </c>
      <c r="H177" s="488">
        <f>H178</f>
        <v>318065</v>
      </c>
    </row>
    <row r="178" spans="1:8" ht="51">
      <c r="A178" s="5" t="s">
        <v>90</v>
      </c>
      <c r="B178" s="5"/>
      <c r="C178" s="195" t="s">
        <v>654</v>
      </c>
      <c r="D178" s="195" t="s">
        <v>532</v>
      </c>
      <c r="E178" s="196" t="s">
        <v>747</v>
      </c>
      <c r="F178" s="195">
        <v>600</v>
      </c>
      <c r="G178" s="488">
        <v>318065</v>
      </c>
      <c r="H178" s="488">
        <v>318065</v>
      </c>
    </row>
    <row r="179" spans="1:8" ht="89.25">
      <c r="A179" s="49" t="s">
        <v>295</v>
      </c>
      <c r="B179" s="49"/>
      <c r="C179" s="195" t="s">
        <v>654</v>
      </c>
      <c r="D179" s="195" t="s">
        <v>532</v>
      </c>
      <c r="E179" s="196" t="s">
        <v>305</v>
      </c>
      <c r="F179" s="195"/>
      <c r="G179" s="571">
        <f>G180</f>
        <v>2127215</v>
      </c>
      <c r="H179" s="571">
        <f>H180</f>
        <v>2127215</v>
      </c>
    </row>
    <row r="180" spans="1:8" ht="51">
      <c r="A180" s="5" t="s">
        <v>90</v>
      </c>
      <c r="B180" s="5"/>
      <c r="C180" s="195" t="s">
        <v>654</v>
      </c>
      <c r="D180" s="195" t="s">
        <v>532</v>
      </c>
      <c r="E180" s="196" t="s">
        <v>305</v>
      </c>
      <c r="F180" s="195">
        <v>600</v>
      </c>
      <c r="G180" s="488">
        <v>2127215</v>
      </c>
      <c r="H180" s="488">
        <v>2127215</v>
      </c>
    </row>
    <row r="181" spans="1:8" ht="38.25">
      <c r="A181" s="149" t="s">
        <v>494</v>
      </c>
      <c r="B181" s="5"/>
      <c r="C181" s="147" t="s">
        <v>654</v>
      </c>
      <c r="D181" s="147" t="s">
        <v>532</v>
      </c>
      <c r="E181" s="148" t="s">
        <v>395</v>
      </c>
      <c r="F181" s="147"/>
      <c r="G181" s="488">
        <f>G182</f>
        <v>384435</v>
      </c>
      <c r="H181" s="488">
        <f>H182</f>
        <v>914342</v>
      </c>
    </row>
    <row r="182" spans="1:8" ht="51">
      <c r="A182" s="159" t="s">
        <v>90</v>
      </c>
      <c r="B182" s="5"/>
      <c r="C182" s="147" t="s">
        <v>654</v>
      </c>
      <c r="D182" s="147" t="s">
        <v>532</v>
      </c>
      <c r="E182" s="148" t="s">
        <v>395</v>
      </c>
      <c r="F182" s="147">
        <v>600</v>
      </c>
      <c r="G182" s="488">
        <f>430000-45565</f>
        <v>384435</v>
      </c>
      <c r="H182" s="488">
        <f>963840-49498</f>
        <v>914342</v>
      </c>
    </row>
    <row r="183" spans="1:8" ht="12.75" hidden="1">
      <c r="A183" s="5"/>
      <c r="B183" s="5"/>
      <c r="C183" s="195"/>
      <c r="D183" s="195"/>
      <c r="E183" s="196"/>
      <c r="F183" s="195"/>
      <c r="G183" s="488">
        <f>G184</f>
        <v>0</v>
      </c>
      <c r="H183" s="488">
        <f>H184</f>
        <v>0</v>
      </c>
    </row>
    <row r="184" spans="1:8" ht="12.75" hidden="1">
      <c r="A184" s="5"/>
      <c r="B184" s="5"/>
      <c r="C184" s="195"/>
      <c r="D184" s="195"/>
      <c r="E184" s="196"/>
      <c r="F184" s="195"/>
      <c r="G184" s="488"/>
      <c r="H184" s="488"/>
    </row>
    <row r="185" spans="1:8" ht="140.25">
      <c r="A185" s="7" t="s">
        <v>958</v>
      </c>
      <c r="B185" s="5"/>
      <c r="C185" s="147" t="s">
        <v>654</v>
      </c>
      <c r="D185" s="147" t="s">
        <v>532</v>
      </c>
      <c r="E185" s="148" t="s">
        <v>959</v>
      </c>
      <c r="F185" s="147"/>
      <c r="G185" s="483">
        <f>G186+G190+G188</f>
        <v>65915664</v>
      </c>
      <c r="H185" s="483">
        <f>H186+H190+H188</f>
        <v>0</v>
      </c>
    </row>
    <row r="186" spans="1:8" ht="89.25">
      <c r="A186" s="390" t="s">
        <v>1012</v>
      </c>
      <c r="B186" s="5"/>
      <c r="C186" s="147" t="s">
        <v>654</v>
      </c>
      <c r="D186" s="147" t="s">
        <v>532</v>
      </c>
      <c r="E186" s="148" t="s">
        <v>1013</v>
      </c>
      <c r="F186" s="147"/>
      <c r="G186" s="483">
        <f>G187</f>
        <v>63766132</v>
      </c>
      <c r="H186" s="483">
        <f>H187</f>
        <v>0</v>
      </c>
    </row>
    <row r="187" spans="1:8" ht="51">
      <c r="A187" s="159" t="s">
        <v>90</v>
      </c>
      <c r="B187" s="5"/>
      <c r="C187" s="147" t="s">
        <v>654</v>
      </c>
      <c r="D187" s="147" t="s">
        <v>532</v>
      </c>
      <c r="E187" s="148" t="s">
        <v>1013</v>
      </c>
      <c r="F187" s="147" t="s">
        <v>79</v>
      </c>
      <c r="G187" s="483">
        <f>1275323+62490809</f>
        <v>63766132</v>
      </c>
      <c r="H187" s="483"/>
    </row>
    <row r="188" spans="1:8" ht="51">
      <c r="A188" s="159" t="s">
        <v>989</v>
      </c>
      <c r="B188" s="5"/>
      <c r="C188" s="147" t="s">
        <v>654</v>
      </c>
      <c r="D188" s="147" t="s">
        <v>532</v>
      </c>
      <c r="E188" s="148" t="s">
        <v>990</v>
      </c>
      <c r="F188" s="147"/>
      <c r="G188" s="483">
        <f>G189</f>
        <v>2106541</v>
      </c>
      <c r="H188" s="483">
        <f>H189</f>
        <v>0</v>
      </c>
    </row>
    <row r="189" spans="1:8" ht="51">
      <c r="A189" s="159" t="s">
        <v>90</v>
      </c>
      <c r="B189" s="5"/>
      <c r="C189" s="147" t="s">
        <v>654</v>
      </c>
      <c r="D189" s="147" t="s">
        <v>532</v>
      </c>
      <c r="E189" s="148" t="s">
        <v>990</v>
      </c>
      <c r="F189" s="147">
        <v>600</v>
      </c>
      <c r="G189" s="483">
        <v>2106541</v>
      </c>
      <c r="H189" s="483"/>
    </row>
    <row r="190" spans="1:8" ht="51">
      <c r="A190" s="406" t="s">
        <v>960</v>
      </c>
      <c r="B190" s="5"/>
      <c r="C190" s="147" t="s">
        <v>654</v>
      </c>
      <c r="D190" s="147" t="s">
        <v>532</v>
      </c>
      <c r="E190" s="148" t="s">
        <v>961</v>
      </c>
      <c r="F190" s="147"/>
      <c r="G190" s="483">
        <f>G191</f>
        <v>42991</v>
      </c>
      <c r="H190" s="483">
        <f>H191</f>
        <v>0</v>
      </c>
    </row>
    <row r="191" spans="1:8" ht="51">
      <c r="A191" s="159" t="s">
        <v>90</v>
      </c>
      <c r="B191" s="5"/>
      <c r="C191" s="147" t="s">
        <v>654</v>
      </c>
      <c r="D191" s="147" t="s">
        <v>532</v>
      </c>
      <c r="E191" s="148" t="s">
        <v>961</v>
      </c>
      <c r="F191" s="147" t="s">
        <v>79</v>
      </c>
      <c r="G191" s="483">
        <v>42991</v>
      </c>
      <c r="H191" s="483"/>
    </row>
    <row r="192" spans="1:8" ht="25.5" hidden="1">
      <c r="A192" s="308" t="s">
        <v>750</v>
      </c>
      <c r="B192" s="5"/>
      <c r="C192" s="195" t="s">
        <v>654</v>
      </c>
      <c r="D192" s="195" t="s">
        <v>532</v>
      </c>
      <c r="E192" s="196" t="s">
        <v>331</v>
      </c>
      <c r="F192" s="195"/>
      <c r="G192" s="571">
        <f>G193</f>
        <v>0</v>
      </c>
      <c r="H192" s="571">
        <f>H193</f>
        <v>0</v>
      </c>
    </row>
    <row r="193" spans="1:8" ht="89.25" hidden="1">
      <c r="A193" s="308" t="s">
        <v>152</v>
      </c>
      <c r="B193" s="5"/>
      <c r="C193" s="195" t="s">
        <v>654</v>
      </c>
      <c r="D193" s="195" t="s">
        <v>532</v>
      </c>
      <c r="E193" s="196" t="s">
        <v>332</v>
      </c>
      <c r="F193" s="195"/>
      <c r="G193" s="571">
        <f>G194</f>
        <v>0</v>
      </c>
      <c r="H193" s="571">
        <f>H194</f>
        <v>0</v>
      </c>
    </row>
    <row r="194" spans="1:8" ht="51" hidden="1">
      <c r="A194" s="5" t="s">
        <v>90</v>
      </c>
      <c r="B194" s="5"/>
      <c r="C194" s="195" t="s">
        <v>654</v>
      </c>
      <c r="D194" s="195" t="s">
        <v>532</v>
      </c>
      <c r="E194" s="196" t="s">
        <v>332</v>
      </c>
      <c r="F194" s="195">
        <v>600</v>
      </c>
      <c r="G194" s="488"/>
      <c r="H194" s="488"/>
    </row>
    <row r="195" spans="1:8" ht="25.5" hidden="1">
      <c r="A195" s="308" t="s">
        <v>108</v>
      </c>
      <c r="B195" s="308"/>
      <c r="C195" s="195" t="s">
        <v>654</v>
      </c>
      <c r="D195" s="195" t="s">
        <v>532</v>
      </c>
      <c r="E195" s="196" t="s">
        <v>62</v>
      </c>
      <c r="F195" s="195"/>
      <c r="G195" s="571">
        <f>G196</f>
        <v>0</v>
      </c>
      <c r="H195" s="571">
        <f>H196</f>
        <v>0</v>
      </c>
    </row>
    <row r="196" spans="1:8" ht="51" hidden="1">
      <c r="A196" s="308" t="s">
        <v>153</v>
      </c>
      <c r="B196" s="308"/>
      <c r="C196" s="195" t="s">
        <v>654</v>
      </c>
      <c r="D196" s="195" t="s">
        <v>532</v>
      </c>
      <c r="E196" s="196" t="s">
        <v>63</v>
      </c>
      <c r="F196" s="195"/>
      <c r="G196" s="571">
        <f>G197</f>
        <v>0</v>
      </c>
      <c r="H196" s="571">
        <f>H197</f>
        <v>0</v>
      </c>
    </row>
    <row r="197" spans="1:8" ht="51" hidden="1">
      <c r="A197" s="5" t="s">
        <v>90</v>
      </c>
      <c r="B197" s="5"/>
      <c r="C197" s="195" t="s">
        <v>654</v>
      </c>
      <c r="D197" s="195" t="s">
        <v>532</v>
      </c>
      <c r="E197" s="196" t="s">
        <v>63</v>
      </c>
      <c r="F197" s="195">
        <v>600</v>
      </c>
      <c r="G197" s="488"/>
      <c r="H197" s="488"/>
    </row>
    <row r="198" spans="1:8" ht="76.5" hidden="1">
      <c r="A198" s="308" t="s">
        <v>61</v>
      </c>
      <c r="B198" s="5"/>
      <c r="C198" s="195" t="s">
        <v>654</v>
      </c>
      <c r="D198" s="195" t="s">
        <v>532</v>
      </c>
      <c r="E198" s="196" t="s">
        <v>354</v>
      </c>
      <c r="F198" s="195"/>
      <c r="G198" s="488">
        <f>G199</f>
        <v>0</v>
      </c>
      <c r="H198" s="488"/>
    </row>
    <row r="199" spans="1:8" ht="51" hidden="1">
      <c r="A199" s="5" t="s">
        <v>90</v>
      </c>
      <c r="B199" s="5"/>
      <c r="C199" s="195" t="s">
        <v>654</v>
      </c>
      <c r="D199" s="195" t="s">
        <v>532</v>
      </c>
      <c r="E199" s="196" t="s">
        <v>354</v>
      </c>
      <c r="F199" s="195">
        <v>600</v>
      </c>
      <c r="G199" s="488"/>
      <c r="H199" s="488"/>
    </row>
    <row r="200" spans="1:8" ht="25.5">
      <c r="A200" s="4" t="s">
        <v>41</v>
      </c>
      <c r="B200" s="4"/>
      <c r="C200" s="195" t="s">
        <v>654</v>
      </c>
      <c r="D200" s="223" t="s">
        <v>101</v>
      </c>
      <c r="E200" s="196"/>
      <c r="F200" s="195"/>
      <c r="G200" s="571">
        <f aca="true" t="shared" si="16" ref="G200:H204">G201</f>
        <v>16455200</v>
      </c>
      <c r="H200" s="571">
        <f t="shared" si="16"/>
        <v>16683807</v>
      </c>
    </row>
    <row r="201" spans="1:8" ht="51">
      <c r="A201" s="211" t="s">
        <v>277</v>
      </c>
      <c r="B201" s="211"/>
      <c r="C201" s="195" t="s">
        <v>654</v>
      </c>
      <c r="D201" s="223" t="s">
        <v>101</v>
      </c>
      <c r="E201" s="196" t="s">
        <v>557</v>
      </c>
      <c r="F201" s="195"/>
      <c r="G201" s="571">
        <f t="shared" si="16"/>
        <v>16455200</v>
      </c>
      <c r="H201" s="571">
        <f t="shared" si="16"/>
        <v>16683807</v>
      </c>
    </row>
    <row r="202" spans="1:8" ht="76.5">
      <c r="A202" s="4" t="s">
        <v>707</v>
      </c>
      <c r="B202" s="4"/>
      <c r="C202" s="195" t="s">
        <v>654</v>
      </c>
      <c r="D202" s="223" t="s">
        <v>101</v>
      </c>
      <c r="E202" s="199" t="s">
        <v>306</v>
      </c>
      <c r="F202" s="198" t="s">
        <v>87</v>
      </c>
      <c r="G202" s="571">
        <f t="shared" si="16"/>
        <v>16455200</v>
      </c>
      <c r="H202" s="571">
        <f t="shared" si="16"/>
        <v>16683807</v>
      </c>
    </row>
    <row r="203" spans="1:8" ht="51">
      <c r="A203" s="7" t="s">
        <v>460</v>
      </c>
      <c r="B203" s="7"/>
      <c r="C203" s="195" t="s">
        <v>654</v>
      </c>
      <c r="D203" s="223" t="s">
        <v>101</v>
      </c>
      <c r="E203" s="196" t="s">
        <v>307</v>
      </c>
      <c r="F203" s="198"/>
      <c r="G203" s="571">
        <f t="shared" si="16"/>
        <v>16455200</v>
      </c>
      <c r="H203" s="571">
        <f t="shared" si="16"/>
        <v>16683807</v>
      </c>
    </row>
    <row r="204" spans="1:8" ht="38.25">
      <c r="A204" s="198" t="s">
        <v>494</v>
      </c>
      <c r="B204" s="198"/>
      <c r="C204" s="195" t="s">
        <v>654</v>
      </c>
      <c r="D204" s="223" t="s">
        <v>101</v>
      </c>
      <c r="E204" s="196" t="s">
        <v>308</v>
      </c>
      <c r="F204" s="195" t="s">
        <v>87</v>
      </c>
      <c r="G204" s="571">
        <f t="shared" si="16"/>
        <v>16455200</v>
      </c>
      <c r="H204" s="571">
        <f t="shared" si="16"/>
        <v>16683807</v>
      </c>
    </row>
    <row r="205" spans="1:8" ht="51">
      <c r="A205" s="5" t="s">
        <v>90</v>
      </c>
      <c r="B205" s="5"/>
      <c r="C205" s="195" t="s">
        <v>654</v>
      </c>
      <c r="D205" s="223" t="s">
        <v>101</v>
      </c>
      <c r="E205" s="196" t="s">
        <v>308</v>
      </c>
      <c r="F205" s="195">
        <v>600</v>
      </c>
      <c r="G205" s="488">
        <f>17773514-1318314</f>
        <v>16455200</v>
      </c>
      <c r="H205" s="488">
        <v>16683807</v>
      </c>
    </row>
    <row r="206" spans="1:8" ht="12.75">
      <c r="A206" s="214" t="s">
        <v>42</v>
      </c>
      <c r="B206" s="214"/>
      <c r="C206" s="213" t="s">
        <v>654</v>
      </c>
      <c r="D206" s="213" t="s">
        <v>654</v>
      </c>
      <c r="E206" s="213" t="s">
        <v>87</v>
      </c>
      <c r="F206" s="213" t="s">
        <v>87</v>
      </c>
      <c r="G206" s="571">
        <f>G207</f>
        <v>1611036</v>
      </c>
      <c r="H206" s="571">
        <f>H207</f>
        <v>1607541</v>
      </c>
    </row>
    <row r="207" spans="1:8" ht="75.75" customHeight="1">
      <c r="A207" s="211" t="s">
        <v>438</v>
      </c>
      <c r="B207" s="211"/>
      <c r="C207" s="195" t="s">
        <v>654</v>
      </c>
      <c r="D207" s="195" t="s">
        <v>654</v>
      </c>
      <c r="E207" s="196" t="s">
        <v>437</v>
      </c>
      <c r="F207" s="195" t="s">
        <v>87</v>
      </c>
      <c r="G207" s="571">
        <f>G208</f>
        <v>1611036</v>
      </c>
      <c r="H207" s="571">
        <f>H208</f>
        <v>1607541</v>
      </c>
    </row>
    <row r="208" spans="1:8" ht="127.5">
      <c r="A208" s="4" t="s">
        <v>352</v>
      </c>
      <c r="B208" s="4"/>
      <c r="C208" s="195" t="s">
        <v>654</v>
      </c>
      <c r="D208" s="195" t="s">
        <v>654</v>
      </c>
      <c r="E208" s="199" t="s">
        <v>488</v>
      </c>
      <c r="F208" s="198" t="s">
        <v>87</v>
      </c>
      <c r="G208" s="571">
        <f>G209+G216</f>
        <v>1611036</v>
      </c>
      <c r="H208" s="571">
        <f>H209+H216</f>
        <v>1607541</v>
      </c>
    </row>
    <row r="209" spans="1:8" ht="38.25">
      <c r="A209" s="12" t="s">
        <v>487</v>
      </c>
      <c r="B209" s="12"/>
      <c r="C209" s="195" t="s">
        <v>654</v>
      </c>
      <c r="D209" s="195" t="s">
        <v>654</v>
      </c>
      <c r="E209" s="196" t="s">
        <v>486</v>
      </c>
      <c r="F209" s="198"/>
      <c r="G209" s="571">
        <f>G210+G213</f>
        <v>1561036</v>
      </c>
      <c r="H209" s="571">
        <f>H210+H213</f>
        <v>1560607</v>
      </c>
    </row>
    <row r="210" spans="1:8" ht="25.5">
      <c r="A210" s="12" t="s">
        <v>485</v>
      </c>
      <c r="B210" s="12"/>
      <c r="C210" s="195" t="s">
        <v>654</v>
      </c>
      <c r="D210" s="195" t="s">
        <v>654</v>
      </c>
      <c r="E210" s="196" t="s">
        <v>484</v>
      </c>
      <c r="F210" s="198"/>
      <c r="G210" s="571">
        <f>SUM(G211:G212)</f>
        <v>7000</v>
      </c>
      <c r="H210" s="571">
        <f>SUM(H211:H212)</f>
        <v>6571</v>
      </c>
    </row>
    <row r="211" spans="1:8" ht="38.25" hidden="1">
      <c r="A211" s="5" t="s">
        <v>228</v>
      </c>
      <c r="B211" s="5"/>
      <c r="C211" s="195" t="s">
        <v>654</v>
      </c>
      <c r="D211" s="195" t="s">
        <v>654</v>
      </c>
      <c r="E211" s="196" t="s">
        <v>484</v>
      </c>
      <c r="F211" s="198">
        <v>200</v>
      </c>
      <c r="G211" s="488"/>
      <c r="H211" s="488"/>
    </row>
    <row r="212" spans="1:8" ht="51">
      <c r="A212" s="5" t="s">
        <v>90</v>
      </c>
      <c r="B212" s="5"/>
      <c r="C212" s="195" t="s">
        <v>654</v>
      </c>
      <c r="D212" s="195" t="s">
        <v>654</v>
      </c>
      <c r="E212" s="196" t="s">
        <v>484</v>
      </c>
      <c r="F212" s="198">
        <v>600</v>
      </c>
      <c r="G212" s="488">
        <v>7000</v>
      </c>
      <c r="H212" s="488">
        <v>6571</v>
      </c>
    </row>
    <row r="213" spans="1:8" ht="38.25">
      <c r="A213" s="49" t="s">
        <v>495</v>
      </c>
      <c r="B213" s="49"/>
      <c r="C213" s="195" t="s">
        <v>654</v>
      </c>
      <c r="D213" s="195" t="s">
        <v>654</v>
      </c>
      <c r="E213" s="196" t="s">
        <v>281</v>
      </c>
      <c r="F213" s="198"/>
      <c r="G213" s="571">
        <f>SUM(G214:G215)</f>
        <v>1554036</v>
      </c>
      <c r="H213" s="571">
        <f>SUM(H214:H215)</f>
        <v>1554036</v>
      </c>
    </row>
    <row r="214" spans="1:8" ht="25.5">
      <c r="A214" s="5" t="s">
        <v>81</v>
      </c>
      <c r="B214" s="5"/>
      <c r="C214" s="195" t="s">
        <v>654</v>
      </c>
      <c r="D214" s="195" t="s">
        <v>654</v>
      </c>
      <c r="E214" s="196" t="s">
        <v>281</v>
      </c>
      <c r="F214" s="198">
        <v>300</v>
      </c>
      <c r="G214" s="488">
        <v>691391</v>
      </c>
      <c r="H214" s="488">
        <v>691391</v>
      </c>
    </row>
    <row r="215" spans="1:8" ht="51">
      <c r="A215" s="5" t="s">
        <v>90</v>
      </c>
      <c r="B215" s="5"/>
      <c r="C215" s="195" t="s">
        <v>654</v>
      </c>
      <c r="D215" s="195" t="s">
        <v>654</v>
      </c>
      <c r="E215" s="196" t="s">
        <v>281</v>
      </c>
      <c r="F215" s="198">
        <v>600</v>
      </c>
      <c r="G215" s="488">
        <v>862645</v>
      </c>
      <c r="H215" s="488">
        <v>862645</v>
      </c>
    </row>
    <row r="216" spans="1:8" ht="63.75">
      <c r="A216" s="12" t="s">
        <v>752</v>
      </c>
      <c r="B216" s="12"/>
      <c r="C216" s="195" t="s">
        <v>654</v>
      </c>
      <c r="D216" s="195" t="s">
        <v>654</v>
      </c>
      <c r="E216" s="196" t="s">
        <v>753</v>
      </c>
      <c r="F216" s="198"/>
      <c r="G216" s="571">
        <f>G217</f>
        <v>50000</v>
      </c>
      <c r="H216" s="571">
        <f>H217</f>
        <v>46934</v>
      </c>
    </row>
    <row r="217" spans="1:8" ht="25.5">
      <c r="A217" s="12" t="s">
        <v>755</v>
      </c>
      <c r="B217" s="12"/>
      <c r="C217" s="195" t="s">
        <v>654</v>
      </c>
      <c r="D217" s="195" t="s">
        <v>654</v>
      </c>
      <c r="E217" s="196" t="s">
        <v>754</v>
      </c>
      <c r="F217" s="198"/>
      <c r="G217" s="571">
        <f>G218</f>
        <v>50000</v>
      </c>
      <c r="H217" s="571">
        <f>H218</f>
        <v>46934</v>
      </c>
    </row>
    <row r="218" spans="1:8" ht="38.25">
      <c r="A218" s="5" t="s">
        <v>228</v>
      </c>
      <c r="B218" s="5"/>
      <c r="C218" s="195" t="s">
        <v>654</v>
      </c>
      <c r="D218" s="195" t="s">
        <v>654</v>
      </c>
      <c r="E218" s="196" t="s">
        <v>754</v>
      </c>
      <c r="F218" s="198">
        <v>200</v>
      </c>
      <c r="G218" s="488">
        <v>50000</v>
      </c>
      <c r="H218" s="488">
        <v>46934</v>
      </c>
    </row>
    <row r="219" spans="1:8" ht="25.5">
      <c r="A219" s="214" t="s">
        <v>564</v>
      </c>
      <c r="B219" s="214"/>
      <c r="C219" s="213" t="s">
        <v>654</v>
      </c>
      <c r="D219" s="213" t="s">
        <v>102</v>
      </c>
      <c r="E219" s="213" t="s">
        <v>87</v>
      </c>
      <c r="F219" s="213" t="s">
        <v>87</v>
      </c>
      <c r="G219" s="571">
        <f>G220</f>
        <v>8287461</v>
      </c>
      <c r="H219" s="571">
        <f>H220</f>
        <v>7793822</v>
      </c>
    </row>
    <row r="220" spans="1:8" ht="51">
      <c r="A220" s="211" t="s">
        <v>279</v>
      </c>
      <c r="B220" s="211"/>
      <c r="C220" s="195" t="s">
        <v>654</v>
      </c>
      <c r="D220" s="195" t="s">
        <v>102</v>
      </c>
      <c r="E220" s="196" t="s">
        <v>557</v>
      </c>
      <c r="F220" s="195" t="s">
        <v>87</v>
      </c>
      <c r="G220" s="571">
        <f>G221</f>
        <v>8287461</v>
      </c>
      <c r="H220" s="571">
        <f>H221</f>
        <v>7793822</v>
      </c>
    </row>
    <row r="221" spans="1:8" ht="76.5">
      <c r="A221" s="4" t="s">
        <v>708</v>
      </c>
      <c r="B221" s="4"/>
      <c r="C221" s="195" t="s">
        <v>654</v>
      </c>
      <c r="D221" s="195" t="s">
        <v>102</v>
      </c>
      <c r="E221" s="196" t="s">
        <v>309</v>
      </c>
      <c r="F221" s="198" t="s">
        <v>87</v>
      </c>
      <c r="G221" s="571">
        <f>G222+G225</f>
        <v>8287461</v>
      </c>
      <c r="H221" s="571">
        <f>H222+H225</f>
        <v>7793822</v>
      </c>
    </row>
    <row r="222" spans="1:8" ht="65.25" customHeight="1">
      <c r="A222" s="7" t="s">
        <v>461</v>
      </c>
      <c r="B222" s="7"/>
      <c r="C222" s="195" t="s">
        <v>654</v>
      </c>
      <c r="D222" s="195" t="s">
        <v>102</v>
      </c>
      <c r="E222" s="196" t="s">
        <v>310</v>
      </c>
      <c r="F222" s="198"/>
      <c r="G222" s="571">
        <f>G223</f>
        <v>236023</v>
      </c>
      <c r="H222" s="571">
        <f>H223</f>
        <v>236023</v>
      </c>
    </row>
    <row r="223" spans="1:8" ht="63.75">
      <c r="A223" s="5" t="s">
        <v>596</v>
      </c>
      <c r="B223" s="5"/>
      <c r="C223" s="195" t="s">
        <v>654</v>
      </c>
      <c r="D223" s="195" t="s">
        <v>102</v>
      </c>
      <c r="E223" s="196" t="s">
        <v>311</v>
      </c>
      <c r="F223" s="195"/>
      <c r="G223" s="571">
        <f>G224</f>
        <v>236023</v>
      </c>
      <c r="H223" s="571">
        <f>H224</f>
        <v>236023</v>
      </c>
    </row>
    <row r="224" spans="1:8" ht="89.25">
      <c r="A224" s="5" t="s">
        <v>735</v>
      </c>
      <c r="B224" s="5"/>
      <c r="C224" s="195" t="s">
        <v>654</v>
      </c>
      <c r="D224" s="195" t="s">
        <v>102</v>
      </c>
      <c r="E224" s="196" t="s">
        <v>311</v>
      </c>
      <c r="F224" s="195">
        <v>100</v>
      </c>
      <c r="G224" s="488">
        <v>236023</v>
      </c>
      <c r="H224" s="488">
        <v>236023</v>
      </c>
    </row>
    <row r="225" spans="1:8" ht="54.75" customHeight="1">
      <c r="A225" s="12" t="s">
        <v>326</v>
      </c>
      <c r="B225" s="12"/>
      <c r="C225" s="195" t="s">
        <v>654</v>
      </c>
      <c r="D225" s="195" t="s">
        <v>102</v>
      </c>
      <c r="E225" s="196" t="s">
        <v>313</v>
      </c>
      <c r="F225" s="195"/>
      <c r="G225" s="571">
        <f>G226</f>
        <v>8051438</v>
      </c>
      <c r="H225" s="571">
        <f>H226</f>
        <v>7557799</v>
      </c>
    </row>
    <row r="226" spans="1:8" ht="38.25">
      <c r="A226" s="198" t="s">
        <v>494</v>
      </c>
      <c r="B226" s="198"/>
      <c r="C226" s="195" t="s">
        <v>654</v>
      </c>
      <c r="D226" s="195" t="s">
        <v>102</v>
      </c>
      <c r="E226" s="196" t="s">
        <v>314</v>
      </c>
      <c r="F226" s="195" t="s">
        <v>87</v>
      </c>
      <c r="G226" s="571">
        <f>SUM(G227:G229)</f>
        <v>8051438</v>
      </c>
      <c r="H226" s="571">
        <f>SUM(H227:H229)</f>
        <v>7557799</v>
      </c>
    </row>
    <row r="227" spans="1:8" ht="89.25">
      <c r="A227" s="5" t="s">
        <v>735</v>
      </c>
      <c r="B227" s="5"/>
      <c r="C227" s="195" t="s">
        <v>654</v>
      </c>
      <c r="D227" s="195" t="s">
        <v>102</v>
      </c>
      <c r="E227" s="196" t="s">
        <v>314</v>
      </c>
      <c r="F227" s="195" t="s">
        <v>592</v>
      </c>
      <c r="G227" s="488">
        <v>7641344</v>
      </c>
      <c r="H227" s="488">
        <v>7172848</v>
      </c>
    </row>
    <row r="228" spans="1:8" ht="38.25">
      <c r="A228" s="5" t="s">
        <v>228</v>
      </c>
      <c r="B228" s="5"/>
      <c r="C228" s="195" t="s">
        <v>654</v>
      </c>
      <c r="D228" s="195" t="s">
        <v>102</v>
      </c>
      <c r="E228" s="196" t="s">
        <v>314</v>
      </c>
      <c r="F228" s="195" t="s">
        <v>74</v>
      </c>
      <c r="G228" s="488">
        <v>404804</v>
      </c>
      <c r="H228" s="488">
        <v>379985</v>
      </c>
    </row>
    <row r="229" spans="1:8" ht="12.75">
      <c r="A229" s="193" t="s">
        <v>77</v>
      </c>
      <c r="B229" s="193"/>
      <c r="C229" s="191" t="s">
        <v>654</v>
      </c>
      <c r="D229" s="191" t="s">
        <v>102</v>
      </c>
      <c r="E229" s="192" t="s">
        <v>314</v>
      </c>
      <c r="F229" s="191">
        <v>800</v>
      </c>
      <c r="G229" s="574">
        <v>5290</v>
      </c>
      <c r="H229" s="574">
        <v>4966</v>
      </c>
    </row>
    <row r="230" spans="1:8" ht="12.75">
      <c r="A230" s="174" t="s">
        <v>722</v>
      </c>
      <c r="B230" s="174"/>
      <c r="C230" s="172" t="s">
        <v>553</v>
      </c>
      <c r="D230" s="216" t="s">
        <v>462</v>
      </c>
      <c r="E230" s="172" t="s">
        <v>87</v>
      </c>
      <c r="F230" s="172" t="s">
        <v>87</v>
      </c>
      <c r="G230" s="570">
        <f>G231</f>
        <v>28550829</v>
      </c>
      <c r="H230" s="570">
        <f>H231</f>
        <v>26809744</v>
      </c>
    </row>
    <row r="231" spans="1:8" ht="12.75">
      <c r="A231" s="214" t="s">
        <v>565</v>
      </c>
      <c r="B231" s="214"/>
      <c r="C231" s="213" t="s">
        <v>553</v>
      </c>
      <c r="D231" s="213" t="s">
        <v>530</v>
      </c>
      <c r="E231" s="213" t="s">
        <v>87</v>
      </c>
      <c r="F231" s="213" t="s">
        <v>87</v>
      </c>
      <c r="G231" s="571">
        <f>G232</f>
        <v>28550829</v>
      </c>
      <c r="H231" s="571">
        <f>H232</f>
        <v>26809744</v>
      </c>
    </row>
    <row r="232" spans="1:8" ht="38.25">
      <c r="A232" s="211" t="s">
        <v>15</v>
      </c>
      <c r="B232" s="211"/>
      <c r="C232" s="195" t="s">
        <v>553</v>
      </c>
      <c r="D232" s="195" t="s">
        <v>530</v>
      </c>
      <c r="E232" s="196" t="s">
        <v>315</v>
      </c>
      <c r="F232" s="195" t="s">
        <v>87</v>
      </c>
      <c r="G232" s="571">
        <f>G233+G239</f>
        <v>28550829</v>
      </c>
      <c r="H232" s="571">
        <f>H233+H239</f>
        <v>26809744</v>
      </c>
    </row>
    <row r="233" spans="1:8" ht="51">
      <c r="A233" s="4" t="s">
        <v>586</v>
      </c>
      <c r="B233" s="4"/>
      <c r="C233" s="195" t="s">
        <v>553</v>
      </c>
      <c r="D233" s="195" t="s">
        <v>530</v>
      </c>
      <c r="E233" s="196" t="s">
        <v>316</v>
      </c>
      <c r="F233" s="198" t="s">
        <v>87</v>
      </c>
      <c r="G233" s="571">
        <f>G234</f>
        <v>5429723</v>
      </c>
      <c r="H233" s="571">
        <f>H234</f>
        <v>5096823</v>
      </c>
    </row>
    <row r="234" spans="1:8" ht="25.5">
      <c r="A234" s="8" t="s">
        <v>483</v>
      </c>
      <c r="B234" s="8"/>
      <c r="C234" s="195" t="s">
        <v>553</v>
      </c>
      <c r="D234" s="195" t="s">
        <v>530</v>
      </c>
      <c r="E234" s="196" t="s">
        <v>317</v>
      </c>
      <c r="F234" s="198"/>
      <c r="G234" s="571">
        <f>G235</f>
        <v>5429723</v>
      </c>
      <c r="H234" s="571">
        <f>H235</f>
        <v>5096823</v>
      </c>
    </row>
    <row r="235" spans="1:8" ht="38.25">
      <c r="A235" s="198" t="s">
        <v>733</v>
      </c>
      <c r="B235" s="198"/>
      <c r="C235" s="195" t="s">
        <v>553</v>
      </c>
      <c r="D235" s="195" t="s">
        <v>530</v>
      </c>
      <c r="E235" s="196" t="s">
        <v>318</v>
      </c>
      <c r="F235" s="195" t="s">
        <v>87</v>
      </c>
      <c r="G235" s="571">
        <f>SUM(G236:G238)</f>
        <v>5429723</v>
      </c>
      <c r="H235" s="571">
        <f>SUM(H236:H238)</f>
        <v>5096823</v>
      </c>
    </row>
    <row r="236" spans="1:8" ht="89.25">
      <c r="A236" s="5" t="s">
        <v>735</v>
      </c>
      <c r="B236" s="5"/>
      <c r="C236" s="195" t="s">
        <v>553</v>
      </c>
      <c r="D236" s="195" t="s">
        <v>530</v>
      </c>
      <c r="E236" s="196" t="s">
        <v>318</v>
      </c>
      <c r="F236" s="195">
        <v>100</v>
      </c>
      <c r="G236" s="488">
        <v>5205523</v>
      </c>
      <c r="H236" s="488">
        <v>4886368</v>
      </c>
    </row>
    <row r="237" spans="1:8" ht="38.25">
      <c r="A237" s="5" t="s">
        <v>228</v>
      </c>
      <c r="B237" s="5"/>
      <c r="C237" s="195" t="s">
        <v>553</v>
      </c>
      <c r="D237" s="195" t="s">
        <v>530</v>
      </c>
      <c r="E237" s="196" t="s">
        <v>318</v>
      </c>
      <c r="F237" s="195">
        <v>200</v>
      </c>
      <c r="G237" s="488">
        <v>191304</v>
      </c>
      <c r="H237" s="488">
        <v>179576</v>
      </c>
    </row>
    <row r="238" spans="1:8" ht="12.75">
      <c r="A238" s="5" t="s">
        <v>77</v>
      </c>
      <c r="B238" s="5"/>
      <c r="C238" s="195" t="s">
        <v>553</v>
      </c>
      <c r="D238" s="195" t="s">
        <v>530</v>
      </c>
      <c r="E238" s="196" t="s">
        <v>318</v>
      </c>
      <c r="F238" s="195">
        <v>800</v>
      </c>
      <c r="G238" s="488">
        <v>32896</v>
      </c>
      <c r="H238" s="488">
        <v>30879</v>
      </c>
    </row>
    <row r="239" spans="1:8" ht="51">
      <c r="A239" s="4" t="s">
        <v>587</v>
      </c>
      <c r="B239" s="4"/>
      <c r="C239" s="195" t="s">
        <v>553</v>
      </c>
      <c r="D239" s="195" t="s">
        <v>530</v>
      </c>
      <c r="E239" s="196" t="s">
        <v>319</v>
      </c>
      <c r="F239" s="198"/>
      <c r="G239" s="571">
        <f>G240</f>
        <v>23121106</v>
      </c>
      <c r="H239" s="571">
        <f>H240</f>
        <v>21712921</v>
      </c>
    </row>
    <row r="240" spans="1:8" ht="63.75">
      <c r="A240" s="8" t="s">
        <v>641</v>
      </c>
      <c r="B240" s="8"/>
      <c r="C240" s="195" t="s">
        <v>553</v>
      </c>
      <c r="D240" s="195" t="s">
        <v>530</v>
      </c>
      <c r="E240" s="196" t="s">
        <v>320</v>
      </c>
      <c r="F240" s="198"/>
      <c r="G240" s="571">
        <f>G241+G243</f>
        <v>23121106</v>
      </c>
      <c r="H240" s="571">
        <f>H241+H243</f>
        <v>21712921</v>
      </c>
    </row>
    <row r="241" spans="1:8" ht="38.25">
      <c r="A241" s="198" t="s">
        <v>733</v>
      </c>
      <c r="B241" s="198"/>
      <c r="C241" s="195" t="s">
        <v>553</v>
      </c>
      <c r="D241" s="195" t="s">
        <v>530</v>
      </c>
      <c r="E241" s="196" t="s">
        <v>321</v>
      </c>
      <c r="F241" s="198"/>
      <c r="G241" s="571">
        <f>G242</f>
        <v>23031106</v>
      </c>
      <c r="H241" s="571">
        <f>H242</f>
        <v>21619052</v>
      </c>
    </row>
    <row r="242" spans="1:8" ht="51">
      <c r="A242" s="5" t="s">
        <v>90</v>
      </c>
      <c r="B242" s="5"/>
      <c r="C242" s="195" t="s">
        <v>553</v>
      </c>
      <c r="D242" s="195" t="s">
        <v>530</v>
      </c>
      <c r="E242" s="196" t="s">
        <v>321</v>
      </c>
      <c r="F242" s="198">
        <v>600</v>
      </c>
      <c r="G242" s="488">
        <v>23031106</v>
      </c>
      <c r="H242" s="488">
        <v>21619052</v>
      </c>
    </row>
    <row r="243" spans="1:8" ht="36">
      <c r="A243" s="9" t="s">
        <v>291</v>
      </c>
      <c r="B243" s="9"/>
      <c r="C243" s="223" t="s">
        <v>553</v>
      </c>
      <c r="D243" s="195" t="s">
        <v>530</v>
      </c>
      <c r="E243" s="196" t="s">
        <v>270</v>
      </c>
      <c r="F243" s="198"/>
      <c r="G243" s="571">
        <f>G244</f>
        <v>90000</v>
      </c>
      <c r="H243" s="571">
        <f>H244</f>
        <v>93869</v>
      </c>
    </row>
    <row r="244" spans="1:8" ht="38.25">
      <c r="A244" s="193" t="s">
        <v>91</v>
      </c>
      <c r="B244" s="193"/>
      <c r="C244" s="222" t="s">
        <v>553</v>
      </c>
      <c r="D244" s="191" t="s">
        <v>530</v>
      </c>
      <c r="E244" s="192" t="s">
        <v>270</v>
      </c>
      <c r="F244" s="217">
        <v>200</v>
      </c>
      <c r="G244" s="574">
        <v>90000</v>
      </c>
      <c r="H244" s="574">
        <v>93869</v>
      </c>
    </row>
    <row r="245" spans="1:8" ht="12.75">
      <c r="A245" s="204" t="s">
        <v>43</v>
      </c>
      <c r="B245" s="204"/>
      <c r="C245" s="216" t="s">
        <v>102</v>
      </c>
      <c r="D245" s="173" t="s">
        <v>462</v>
      </c>
      <c r="E245" s="202"/>
      <c r="F245" s="201"/>
      <c r="G245" s="570">
        <f aca="true" t="shared" si="17" ref="G245:H249">G246</f>
        <v>1084220</v>
      </c>
      <c r="H245" s="570">
        <f t="shared" si="17"/>
        <v>1084220</v>
      </c>
    </row>
    <row r="246" spans="1:8" ht="25.5">
      <c r="A246" s="5" t="s">
        <v>44</v>
      </c>
      <c r="B246" s="5"/>
      <c r="C246" s="223" t="s">
        <v>102</v>
      </c>
      <c r="D246" s="223" t="s">
        <v>654</v>
      </c>
      <c r="E246" s="196"/>
      <c r="F246" s="198"/>
      <c r="G246" s="571">
        <f t="shared" si="17"/>
        <v>1084220</v>
      </c>
      <c r="H246" s="571">
        <f t="shared" si="17"/>
        <v>1084220</v>
      </c>
    </row>
    <row r="247" spans="1:8" ht="38.25">
      <c r="A247" s="211" t="s">
        <v>626</v>
      </c>
      <c r="B247" s="211"/>
      <c r="C247" s="223" t="s">
        <v>102</v>
      </c>
      <c r="D247" s="223" t="s">
        <v>654</v>
      </c>
      <c r="E247" s="196" t="s">
        <v>14</v>
      </c>
      <c r="F247" s="198"/>
      <c r="G247" s="571">
        <f t="shared" si="17"/>
        <v>1084220</v>
      </c>
      <c r="H247" s="571">
        <f t="shared" si="17"/>
        <v>1084220</v>
      </c>
    </row>
    <row r="248" spans="1:8" ht="25.5">
      <c r="A248" s="4" t="s">
        <v>636</v>
      </c>
      <c r="B248" s="4"/>
      <c r="C248" s="223" t="s">
        <v>102</v>
      </c>
      <c r="D248" s="223" t="s">
        <v>654</v>
      </c>
      <c r="E248" s="199" t="s">
        <v>16</v>
      </c>
      <c r="F248" s="198"/>
      <c r="G248" s="571">
        <f t="shared" si="17"/>
        <v>1084220</v>
      </c>
      <c r="H248" s="571">
        <f t="shared" si="17"/>
        <v>1084220</v>
      </c>
    </row>
    <row r="249" spans="1:8" ht="51">
      <c r="A249" s="6" t="s">
        <v>768</v>
      </c>
      <c r="B249" s="6"/>
      <c r="C249" s="223" t="s">
        <v>102</v>
      </c>
      <c r="D249" s="223" t="s">
        <v>654</v>
      </c>
      <c r="E249" s="196" t="s">
        <v>45</v>
      </c>
      <c r="F249" s="198"/>
      <c r="G249" s="571">
        <f t="shared" si="17"/>
        <v>1084220</v>
      </c>
      <c r="H249" s="571">
        <f t="shared" si="17"/>
        <v>1084220</v>
      </c>
    </row>
    <row r="250" spans="1:8" ht="46.5" customHeight="1">
      <c r="A250" s="193" t="s">
        <v>91</v>
      </c>
      <c r="B250" s="193"/>
      <c r="C250" s="222" t="s">
        <v>102</v>
      </c>
      <c r="D250" s="222" t="s">
        <v>654</v>
      </c>
      <c r="E250" s="192" t="s">
        <v>45</v>
      </c>
      <c r="F250" s="217">
        <v>200</v>
      </c>
      <c r="G250" s="574">
        <v>1084220</v>
      </c>
      <c r="H250" s="574">
        <v>1084220</v>
      </c>
    </row>
    <row r="251" spans="1:8" ht="12.75">
      <c r="A251" s="174" t="s">
        <v>566</v>
      </c>
      <c r="B251" s="174"/>
      <c r="C251" s="172" t="s">
        <v>554</v>
      </c>
      <c r="D251" s="216" t="s">
        <v>462</v>
      </c>
      <c r="E251" s="172" t="s">
        <v>87</v>
      </c>
      <c r="F251" s="172" t="s">
        <v>87</v>
      </c>
      <c r="G251" s="570">
        <f>G252+G258+G271</f>
        <v>9698890</v>
      </c>
      <c r="H251" s="570">
        <f>H252+H258+H271</f>
        <v>7583618</v>
      </c>
    </row>
    <row r="252" spans="1:8" ht="12.75">
      <c r="A252" s="214" t="s">
        <v>567</v>
      </c>
      <c r="B252" s="214"/>
      <c r="C252" s="213" t="s">
        <v>554</v>
      </c>
      <c r="D252" s="213" t="s">
        <v>101</v>
      </c>
      <c r="E252" s="213" t="s">
        <v>87</v>
      </c>
      <c r="F252" s="213" t="s">
        <v>87</v>
      </c>
      <c r="G252" s="571">
        <f aca="true" t="shared" si="18" ref="G252:H256">G253</f>
        <v>20000</v>
      </c>
      <c r="H252" s="571">
        <f t="shared" si="18"/>
        <v>18774</v>
      </c>
    </row>
    <row r="253" spans="1:8" ht="53.25" customHeight="1">
      <c r="A253" s="211" t="s">
        <v>269</v>
      </c>
      <c r="B253" s="211"/>
      <c r="C253" s="195">
        <v>10</v>
      </c>
      <c r="D253" s="195" t="s">
        <v>101</v>
      </c>
      <c r="E253" s="196" t="s">
        <v>557</v>
      </c>
      <c r="F253" s="195"/>
      <c r="G253" s="571">
        <f t="shared" si="18"/>
        <v>20000</v>
      </c>
      <c r="H253" s="571">
        <f t="shared" si="18"/>
        <v>18774</v>
      </c>
    </row>
    <row r="254" spans="1:8" ht="65.25" customHeight="1">
      <c r="A254" s="4" t="s">
        <v>268</v>
      </c>
      <c r="B254" s="4"/>
      <c r="C254" s="195">
        <v>10</v>
      </c>
      <c r="D254" s="195" t="s">
        <v>101</v>
      </c>
      <c r="E254" s="199" t="s">
        <v>558</v>
      </c>
      <c r="F254" s="195"/>
      <c r="G254" s="571">
        <f t="shared" si="18"/>
        <v>20000</v>
      </c>
      <c r="H254" s="571">
        <f t="shared" si="18"/>
        <v>18774</v>
      </c>
    </row>
    <row r="255" spans="1:8" ht="25.5">
      <c r="A255" s="7" t="s">
        <v>459</v>
      </c>
      <c r="B255" s="7"/>
      <c r="C255" s="195">
        <v>10</v>
      </c>
      <c r="D255" s="195" t="s">
        <v>101</v>
      </c>
      <c r="E255" s="199" t="s">
        <v>304</v>
      </c>
      <c r="F255" s="195"/>
      <c r="G255" s="571">
        <f t="shared" si="18"/>
        <v>20000</v>
      </c>
      <c r="H255" s="571">
        <f t="shared" si="18"/>
        <v>18774</v>
      </c>
    </row>
    <row r="256" spans="1:8" ht="12.75">
      <c r="A256" s="9" t="s">
        <v>274</v>
      </c>
      <c r="B256" s="9"/>
      <c r="C256" s="195">
        <v>10</v>
      </c>
      <c r="D256" s="195" t="s">
        <v>101</v>
      </c>
      <c r="E256" s="196" t="s">
        <v>273</v>
      </c>
      <c r="F256" s="195"/>
      <c r="G256" s="571">
        <f t="shared" si="18"/>
        <v>20000</v>
      </c>
      <c r="H256" s="571">
        <f t="shared" si="18"/>
        <v>18774</v>
      </c>
    </row>
    <row r="257" spans="1:8" ht="25.5">
      <c r="A257" s="5" t="s">
        <v>81</v>
      </c>
      <c r="B257" s="5"/>
      <c r="C257" s="195">
        <v>10</v>
      </c>
      <c r="D257" s="195" t="s">
        <v>101</v>
      </c>
      <c r="E257" s="196" t="s">
        <v>273</v>
      </c>
      <c r="F257" s="195">
        <v>300</v>
      </c>
      <c r="G257" s="488">
        <v>20000</v>
      </c>
      <c r="H257" s="488">
        <v>18774</v>
      </c>
    </row>
    <row r="258" spans="1:8" ht="12.75">
      <c r="A258" s="214" t="s">
        <v>568</v>
      </c>
      <c r="B258" s="214"/>
      <c r="C258" s="213" t="s">
        <v>554</v>
      </c>
      <c r="D258" s="213" t="s">
        <v>533</v>
      </c>
      <c r="E258" s="213" t="s">
        <v>87</v>
      </c>
      <c r="F258" s="213" t="s">
        <v>87</v>
      </c>
      <c r="G258" s="571">
        <f>G265+G259</f>
        <v>9344190</v>
      </c>
      <c r="H258" s="571">
        <f>H265+H259</f>
        <v>7230144</v>
      </c>
    </row>
    <row r="259" spans="1:8" ht="38.25">
      <c r="A259" s="211" t="s">
        <v>162</v>
      </c>
      <c r="B259" s="211"/>
      <c r="C259" s="195" t="s">
        <v>554</v>
      </c>
      <c r="D259" s="195" t="s">
        <v>533</v>
      </c>
      <c r="E259" s="196" t="s">
        <v>223</v>
      </c>
      <c r="F259" s="195"/>
      <c r="G259" s="571">
        <f aca="true" t="shared" si="19" ref="G259:H263">G260</f>
        <v>4228092</v>
      </c>
      <c r="H259" s="571">
        <f t="shared" si="19"/>
        <v>2114046</v>
      </c>
    </row>
    <row r="260" spans="1:8" ht="89.25">
      <c r="A260" s="4" t="s">
        <v>240</v>
      </c>
      <c r="B260" s="4"/>
      <c r="C260" s="195" t="s">
        <v>554</v>
      </c>
      <c r="D260" s="195" t="s">
        <v>533</v>
      </c>
      <c r="E260" s="199" t="s">
        <v>7</v>
      </c>
      <c r="F260" s="198" t="s">
        <v>87</v>
      </c>
      <c r="G260" s="571">
        <f t="shared" si="19"/>
        <v>4228092</v>
      </c>
      <c r="H260" s="571">
        <f t="shared" si="19"/>
        <v>2114046</v>
      </c>
    </row>
    <row r="261" spans="1:8" ht="63.75">
      <c r="A261" s="8" t="s">
        <v>757</v>
      </c>
      <c r="B261" s="8"/>
      <c r="C261" s="195" t="s">
        <v>554</v>
      </c>
      <c r="D261" s="195" t="s">
        <v>533</v>
      </c>
      <c r="E261" s="195" t="s">
        <v>124</v>
      </c>
      <c r="F261" s="195"/>
      <c r="G261" s="571">
        <f t="shared" si="19"/>
        <v>4228092</v>
      </c>
      <c r="H261" s="571">
        <f t="shared" si="19"/>
        <v>2114046</v>
      </c>
    </row>
    <row r="262" spans="1:8" ht="51">
      <c r="A262" s="390" t="s">
        <v>933</v>
      </c>
      <c r="B262" s="5"/>
      <c r="C262" s="195" t="s">
        <v>554</v>
      </c>
      <c r="D262" s="195" t="s">
        <v>533</v>
      </c>
      <c r="E262" s="148" t="s">
        <v>931</v>
      </c>
      <c r="F262" s="147"/>
      <c r="G262" s="488">
        <f t="shared" si="19"/>
        <v>4228092</v>
      </c>
      <c r="H262" s="488">
        <f t="shared" si="19"/>
        <v>2114046</v>
      </c>
    </row>
    <row r="263" spans="1:8" ht="76.5">
      <c r="A263" s="390" t="s">
        <v>909</v>
      </c>
      <c r="B263" s="5"/>
      <c r="C263" s="195" t="s">
        <v>554</v>
      </c>
      <c r="D263" s="195" t="s">
        <v>533</v>
      </c>
      <c r="E263" s="148" t="s">
        <v>917</v>
      </c>
      <c r="F263" s="147"/>
      <c r="G263" s="488">
        <f t="shared" si="19"/>
        <v>4228092</v>
      </c>
      <c r="H263" s="488">
        <f t="shared" si="19"/>
        <v>2114046</v>
      </c>
    </row>
    <row r="264" spans="1:8" ht="38.25">
      <c r="A264" s="390" t="s">
        <v>221</v>
      </c>
      <c r="B264" s="5"/>
      <c r="C264" s="195" t="s">
        <v>554</v>
      </c>
      <c r="D264" s="195" t="s">
        <v>533</v>
      </c>
      <c r="E264" s="148" t="s">
        <v>917</v>
      </c>
      <c r="F264" s="147">
        <v>400</v>
      </c>
      <c r="G264" s="488">
        <v>4228092</v>
      </c>
      <c r="H264" s="488">
        <v>2114046</v>
      </c>
    </row>
    <row r="265" spans="1:8" ht="51">
      <c r="A265" s="211" t="s">
        <v>277</v>
      </c>
      <c r="B265" s="211"/>
      <c r="C265" s="195">
        <v>10</v>
      </c>
      <c r="D265" s="195" t="s">
        <v>533</v>
      </c>
      <c r="E265" s="196" t="s">
        <v>557</v>
      </c>
      <c r="F265" s="195"/>
      <c r="G265" s="571">
        <f aca="true" t="shared" si="20" ref="G265:H267">G266</f>
        <v>5116098</v>
      </c>
      <c r="H265" s="571">
        <f t="shared" si="20"/>
        <v>5116098</v>
      </c>
    </row>
    <row r="266" spans="1:8" ht="63.75">
      <c r="A266" s="4" t="s">
        <v>278</v>
      </c>
      <c r="B266" s="4"/>
      <c r="C266" s="195">
        <v>10</v>
      </c>
      <c r="D266" s="195" t="s">
        <v>533</v>
      </c>
      <c r="E266" s="199" t="s">
        <v>558</v>
      </c>
      <c r="F266" s="195"/>
      <c r="G266" s="571">
        <f t="shared" si="20"/>
        <v>5116098</v>
      </c>
      <c r="H266" s="571">
        <f t="shared" si="20"/>
        <v>5116098</v>
      </c>
    </row>
    <row r="267" spans="1:8" ht="25.5">
      <c r="A267" s="11" t="s">
        <v>457</v>
      </c>
      <c r="B267" s="11"/>
      <c r="C267" s="195">
        <v>10</v>
      </c>
      <c r="D267" s="195" t="s">
        <v>533</v>
      </c>
      <c r="E267" s="199" t="s">
        <v>131</v>
      </c>
      <c r="F267" s="195"/>
      <c r="G267" s="571">
        <f t="shared" si="20"/>
        <v>5116098</v>
      </c>
      <c r="H267" s="571">
        <f t="shared" si="20"/>
        <v>5116098</v>
      </c>
    </row>
    <row r="268" spans="1:8" ht="25.5">
      <c r="A268" s="5" t="s">
        <v>323</v>
      </c>
      <c r="B268" s="5"/>
      <c r="C268" s="195">
        <v>10</v>
      </c>
      <c r="D268" s="195" t="s">
        <v>533</v>
      </c>
      <c r="E268" s="196" t="s">
        <v>243</v>
      </c>
      <c r="F268" s="195"/>
      <c r="G268" s="571">
        <f>SUM(G269:G270)</f>
        <v>5116098</v>
      </c>
      <c r="H268" s="571">
        <f>SUM(H269:H270)</f>
        <v>5116098</v>
      </c>
    </row>
    <row r="269" spans="1:8" ht="38.25">
      <c r="A269" s="5" t="s">
        <v>228</v>
      </c>
      <c r="B269" s="5"/>
      <c r="C269" s="195">
        <v>10</v>
      </c>
      <c r="D269" s="195" t="s">
        <v>533</v>
      </c>
      <c r="E269" s="196" t="s">
        <v>243</v>
      </c>
      <c r="F269" s="195">
        <v>200</v>
      </c>
      <c r="G269" s="488">
        <v>20382</v>
      </c>
      <c r="H269" s="488">
        <v>20382</v>
      </c>
    </row>
    <row r="270" spans="1:8" ht="25.5">
      <c r="A270" s="193" t="s">
        <v>81</v>
      </c>
      <c r="B270" s="193"/>
      <c r="C270" s="191">
        <v>10</v>
      </c>
      <c r="D270" s="191" t="s">
        <v>533</v>
      </c>
      <c r="E270" s="192" t="s">
        <v>243</v>
      </c>
      <c r="F270" s="191">
        <v>300</v>
      </c>
      <c r="G270" s="574">
        <v>5095716</v>
      </c>
      <c r="H270" s="574">
        <v>5095716</v>
      </c>
    </row>
    <row r="271" spans="1:8" ht="25.5">
      <c r="A271" s="214" t="s">
        <v>573</v>
      </c>
      <c r="B271" s="214"/>
      <c r="C271" s="213" t="s">
        <v>554</v>
      </c>
      <c r="D271" s="213" t="s">
        <v>534</v>
      </c>
      <c r="E271" s="213" t="s">
        <v>87</v>
      </c>
      <c r="F271" s="128"/>
      <c r="G271" s="575">
        <f aca="true" t="shared" si="21" ref="G271:H274">G272</f>
        <v>334700</v>
      </c>
      <c r="H271" s="575">
        <f t="shared" si="21"/>
        <v>334700</v>
      </c>
    </row>
    <row r="272" spans="1:8" ht="76.5">
      <c r="A272" s="211" t="s">
        <v>296</v>
      </c>
      <c r="B272" s="211"/>
      <c r="C272" s="195" t="s">
        <v>554</v>
      </c>
      <c r="D272" s="195" t="s">
        <v>534</v>
      </c>
      <c r="E272" s="196" t="s">
        <v>12</v>
      </c>
      <c r="F272" s="195"/>
      <c r="G272" s="571">
        <f t="shared" si="21"/>
        <v>334700</v>
      </c>
      <c r="H272" s="571">
        <f t="shared" si="21"/>
        <v>334700</v>
      </c>
    </row>
    <row r="273" spans="1:8" ht="114.75">
      <c r="A273" s="4" t="s">
        <v>297</v>
      </c>
      <c r="B273" s="4"/>
      <c r="C273" s="195" t="s">
        <v>554</v>
      </c>
      <c r="D273" s="195" t="s">
        <v>534</v>
      </c>
      <c r="E273" s="199" t="s">
        <v>13</v>
      </c>
      <c r="F273" s="195"/>
      <c r="G273" s="571">
        <f t="shared" si="21"/>
        <v>334700</v>
      </c>
      <c r="H273" s="571">
        <f t="shared" si="21"/>
        <v>334700</v>
      </c>
    </row>
    <row r="274" spans="1:8" ht="51">
      <c r="A274" s="5" t="s">
        <v>286</v>
      </c>
      <c r="B274" s="5"/>
      <c r="C274" s="195" t="s">
        <v>554</v>
      </c>
      <c r="D274" s="195" t="s">
        <v>534</v>
      </c>
      <c r="E274" s="195" t="s">
        <v>275</v>
      </c>
      <c r="F274" s="195"/>
      <c r="G274" s="571">
        <f t="shared" si="21"/>
        <v>334700</v>
      </c>
      <c r="H274" s="571">
        <f t="shared" si="21"/>
        <v>334700</v>
      </c>
    </row>
    <row r="275" spans="1:8" ht="76.5">
      <c r="A275" s="5" t="s">
        <v>109</v>
      </c>
      <c r="B275" s="5"/>
      <c r="C275" s="195" t="s">
        <v>554</v>
      </c>
      <c r="D275" s="195" t="s">
        <v>534</v>
      </c>
      <c r="E275" s="195" t="s">
        <v>287</v>
      </c>
      <c r="F275" s="195"/>
      <c r="G275" s="571">
        <f>SUM(G276:G276)</f>
        <v>334700</v>
      </c>
      <c r="H275" s="571">
        <f>SUM(H276:H276)</f>
        <v>334700</v>
      </c>
    </row>
    <row r="276" spans="1:8" ht="89.25">
      <c r="A276" s="5" t="s">
        <v>735</v>
      </c>
      <c r="B276" s="5"/>
      <c r="C276" s="195" t="s">
        <v>554</v>
      </c>
      <c r="D276" s="195" t="s">
        <v>534</v>
      </c>
      <c r="E276" s="195" t="s">
        <v>287</v>
      </c>
      <c r="F276" s="195">
        <v>100</v>
      </c>
      <c r="G276" s="488">
        <v>334700</v>
      </c>
      <c r="H276" s="488">
        <v>334700</v>
      </c>
    </row>
    <row r="277" spans="1:8" ht="12.75">
      <c r="A277" s="174" t="s">
        <v>242</v>
      </c>
      <c r="B277" s="174"/>
      <c r="C277" s="172" t="s">
        <v>536</v>
      </c>
      <c r="D277" s="216" t="s">
        <v>462</v>
      </c>
      <c r="E277" s="172" t="s">
        <v>87</v>
      </c>
      <c r="F277" s="172" t="s">
        <v>87</v>
      </c>
      <c r="G277" s="576">
        <f>G278</f>
        <v>50000</v>
      </c>
      <c r="H277" s="576">
        <f>H278</f>
        <v>46935</v>
      </c>
    </row>
    <row r="278" spans="1:8" ht="12.75">
      <c r="A278" s="214" t="s">
        <v>439</v>
      </c>
      <c r="B278" s="214"/>
      <c r="C278" s="213" t="s">
        <v>536</v>
      </c>
      <c r="D278" s="213" t="s">
        <v>532</v>
      </c>
      <c r="E278" s="213" t="s">
        <v>87</v>
      </c>
      <c r="F278" s="213" t="s">
        <v>87</v>
      </c>
      <c r="G278" s="571">
        <f>G284</f>
        <v>50000</v>
      </c>
      <c r="H278" s="571">
        <f>H284</f>
        <v>46935</v>
      </c>
    </row>
    <row r="279" spans="1:8" ht="81.75" customHeight="1" hidden="1">
      <c r="A279" s="211" t="s">
        <v>479</v>
      </c>
      <c r="B279" s="211"/>
      <c r="C279" s="195">
        <v>11</v>
      </c>
      <c r="D279" s="223" t="s">
        <v>532</v>
      </c>
      <c r="E279" s="196" t="s">
        <v>32</v>
      </c>
      <c r="F279" s="213"/>
      <c r="G279" s="571">
        <f aca="true" t="shared" si="22" ref="G279:H282">G280</f>
        <v>0</v>
      </c>
      <c r="H279" s="571">
        <f t="shared" si="22"/>
        <v>0</v>
      </c>
    </row>
    <row r="280" spans="1:8" ht="127.5" hidden="1">
      <c r="A280" s="4" t="s">
        <v>215</v>
      </c>
      <c r="B280" s="4"/>
      <c r="C280" s="195">
        <v>11</v>
      </c>
      <c r="D280" s="223" t="s">
        <v>532</v>
      </c>
      <c r="E280" s="199" t="s">
        <v>216</v>
      </c>
      <c r="F280" s="213"/>
      <c r="G280" s="571">
        <f t="shared" si="22"/>
        <v>0</v>
      </c>
      <c r="H280" s="571">
        <f t="shared" si="22"/>
        <v>0</v>
      </c>
    </row>
    <row r="281" spans="1:8" ht="51" hidden="1">
      <c r="A281" s="198" t="s">
        <v>217</v>
      </c>
      <c r="B281" s="198"/>
      <c r="C281" s="195">
        <v>11</v>
      </c>
      <c r="D281" s="223" t="s">
        <v>532</v>
      </c>
      <c r="E281" s="196" t="s">
        <v>218</v>
      </c>
      <c r="F281" s="213"/>
      <c r="G281" s="571">
        <f t="shared" si="22"/>
        <v>0</v>
      </c>
      <c r="H281" s="571">
        <f t="shared" si="22"/>
        <v>0</v>
      </c>
    </row>
    <row r="282" spans="1:8" ht="63.75" hidden="1">
      <c r="A282" s="309" t="s">
        <v>219</v>
      </c>
      <c r="B282" s="309"/>
      <c r="C282" s="195">
        <v>11</v>
      </c>
      <c r="D282" s="223" t="s">
        <v>532</v>
      </c>
      <c r="E282" s="196" t="s">
        <v>220</v>
      </c>
      <c r="F282" s="213"/>
      <c r="G282" s="571">
        <f t="shared" si="22"/>
        <v>0</v>
      </c>
      <c r="H282" s="571">
        <f t="shared" si="22"/>
        <v>0</v>
      </c>
    </row>
    <row r="283" spans="1:8" ht="38.25" hidden="1">
      <c r="A283" s="5" t="s">
        <v>221</v>
      </c>
      <c r="B283" s="5"/>
      <c r="C283" s="195">
        <v>11</v>
      </c>
      <c r="D283" s="223" t="s">
        <v>532</v>
      </c>
      <c r="E283" s="196" t="s">
        <v>220</v>
      </c>
      <c r="F283" s="213">
        <v>400</v>
      </c>
      <c r="G283" s="488"/>
      <c r="H283" s="488"/>
    </row>
    <row r="284" spans="1:8" ht="89.25">
      <c r="A284" s="211" t="s">
        <v>438</v>
      </c>
      <c r="B284" s="211"/>
      <c r="C284" s="195" t="s">
        <v>536</v>
      </c>
      <c r="D284" s="195" t="s">
        <v>532</v>
      </c>
      <c r="E284" s="196" t="s">
        <v>437</v>
      </c>
      <c r="F284" s="209" t="s">
        <v>87</v>
      </c>
      <c r="G284" s="571">
        <f aca="true" t="shared" si="23" ref="G284:H287">G285</f>
        <v>50000</v>
      </c>
      <c r="H284" s="571">
        <f t="shared" si="23"/>
        <v>46935</v>
      </c>
    </row>
    <row r="285" spans="1:8" ht="114.75">
      <c r="A285" s="4" t="s">
        <v>436</v>
      </c>
      <c r="B285" s="4"/>
      <c r="C285" s="195" t="s">
        <v>536</v>
      </c>
      <c r="D285" s="195" t="s">
        <v>532</v>
      </c>
      <c r="E285" s="196" t="s">
        <v>248</v>
      </c>
      <c r="F285" s="210" t="s">
        <v>87</v>
      </c>
      <c r="G285" s="571">
        <f t="shared" si="23"/>
        <v>50000</v>
      </c>
      <c r="H285" s="571">
        <f t="shared" si="23"/>
        <v>46935</v>
      </c>
    </row>
    <row r="286" spans="1:8" ht="89.25">
      <c r="A286" s="12" t="s">
        <v>247</v>
      </c>
      <c r="B286" s="12"/>
      <c r="C286" s="195" t="s">
        <v>536</v>
      </c>
      <c r="D286" s="195" t="s">
        <v>532</v>
      </c>
      <c r="E286" s="196" t="s">
        <v>246</v>
      </c>
      <c r="F286" s="210"/>
      <c r="G286" s="571">
        <f t="shared" si="23"/>
        <v>50000</v>
      </c>
      <c r="H286" s="571">
        <f t="shared" si="23"/>
        <v>46935</v>
      </c>
    </row>
    <row r="287" spans="1:8" ht="76.5">
      <c r="A287" s="12" t="s">
        <v>245</v>
      </c>
      <c r="B287" s="12"/>
      <c r="C287" s="195" t="s">
        <v>536</v>
      </c>
      <c r="D287" s="195" t="s">
        <v>532</v>
      </c>
      <c r="E287" s="196" t="s">
        <v>244</v>
      </c>
      <c r="F287" s="210"/>
      <c r="G287" s="571">
        <f t="shared" si="23"/>
        <v>50000</v>
      </c>
      <c r="H287" s="571">
        <f t="shared" si="23"/>
        <v>46935</v>
      </c>
    </row>
    <row r="288" spans="1:8" ht="38.25">
      <c r="A288" s="193" t="s">
        <v>228</v>
      </c>
      <c r="B288" s="193"/>
      <c r="C288" s="191" t="s">
        <v>536</v>
      </c>
      <c r="D288" s="191" t="s">
        <v>532</v>
      </c>
      <c r="E288" s="192" t="s">
        <v>244</v>
      </c>
      <c r="F288" s="217">
        <v>200</v>
      </c>
      <c r="G288" s="574">
        <v>50000</v>
      </c>
      <c r="H288" s="574">
        <v>46935</v>
      </c>
    </row>
    <row r="289" spans="1:8" ht="38.25">
      <c r="A289" s="204" t="s">
        <v>463</v>
      </c>
      <c r="B289" s="216" t="s">
        <v>325</v>
      </c>
      <c r="C289" s="203"/>
      <c r="D289" s="203"/>
      <c r="E289" s="202"/>
      <c r="F289" s="201"/>
      <c r="G289" s="570">
        <f>G290+G299+G307+G316+G365</f>
        <v>71204271</v>
      </c>
      <c r="H289" s="570">
        <f>H290+H299+H307+H316+H365</f>
        <v>73912271</v>
      </c>
    </row>
    <row r="290" spans="1:8" ht="12.75">
      <c r="A290" s="174" t="s">
        <v>593</v>
      </c>
      <c r="B290" s="172"/>
      <c r="C290" s="172" t="s">
        <v>530</v>
      </c>
      <c r="D290" s="216" t="s">
        <v>462</v>
      </c>
      <c r="E290" s="172" t="s">
        <v>87</v>
      </c>
      <c r="F290" s="172" t="s">
        <v>87</v>
      </c>
      <c r="G290" s="570">
        <f>G291</f>
        <v>4221347</v>
      </c>
      <c r="H290" s="570">
        <f>H291</f>
        <v>3962533</v>
      </c>
    </row>
    <row r="291" spans="1:8" ht="63.75">
      <c r="A291" s="214" t="s">
        <v>345</v>
      </c>
      <c r="B291" s="213"/>
      <c r="C291" s="213" t="s">
        <v>530</v>
      </c>
      <c r="D291" s="213" t="s">
        <v>534</v>
      </c>
      <c r="E291" s="213" t="s">
        <v>87</v>
      </c>
      <c r="F291" s="213" t="s">
        <v>87</v>
      </c>
      <c r="G291" s="571">
        <f aca="true" t="shared" si="24" ref="G291:H294">G292</f>
        <v>4221347</v>
      </c>
      <c r="H291" s="571">
        <f t="shared" si="24"/>
        <v>3962533</v>
      </c>
    </row>
    <row r="292" spans="1:8" ht="38.25">
      <c r="A292" s="211" t="s">
        <v>171</v>
      </c>
      <c r="B292" s="211"/>
      <c r="C292" s="195" t="s">
        <v>530</v>
      </c>
      <c r="D292" s="195" t="s">
        <v>534</v>
      </c>
      <c r="E292" s="195" t="s">
        <v>693</v>
      </c>
      <c r="F292" s="195" t="s">
        <v>87</v>
      </c>
      <c r="G292" s="571">
        <f t="shared" si="24"/>
        <v>4221347</v>
      </c>
      <c r="H292" s="571">
        <f t="shared" si="24"/>
        <v>3962533</v>
      </c>
    </row>
    <row r="293" spans="1:8" ht="76.5">
      <c r="A293" s="4" t="s">
        <v>173</v>
      </c>
      <c r="B293" s="4"/>
      <c r="C293" s="195" t="s">
        <v>530</v>
      </c>
      <c r="D293" s="195" t="s">
        <v>534</v>
      </c>
      <c r="E293" s="195" t="s">
        <v>694</v>
      </c>
      <c r="F293" s="198" t="s">
        <v>87</v>
      </c>
      <c r="G293" s="571">
        <f t="shared" si="24"/>
        <v>4221347</v>
      </c>
      <c r="H293" s="571">
        <f t="shared" si="24"/>
        <v>3962533</v>
      </c>
    </row>
    <row r="294" spans="1:8" ht="63.75">
      <c r="A294" s="7" t="s">
        <v>594</v>
      </c>
      <c r="B294" s="7"/>
      <c r="C294" s="195" t="s">
        <v>530</v>
      </c>
      <c r="D294" s="195" t="s">
        <v>534</v>
      </c>
      <c r="E294" s="195" t="s">
        <v>312</v>
      </c>
      <c r="F294" s="198"/>
      <c r="G294" s="571">
        <f t="shared" si="24"/>
        <v>4221347</v>
      </c>
      <c r="H294" s="571">
        <f t="shared" si="24"/>
        <v>3962533</v>
      </c>
    </row>
    <row r="295" spans="1:8" ht="38.25">
      <c r="A295" s="198" t="s">
        <v>731</v>
      </c>
      <c r="B295" s="198"/>
      <c r="C295" s="195" t="s">
        <v>530</v>
      </c>
      <c r="D295" s="195" t="s">
        <v>534</v>
      </c>
      <c r="E295" s="195" t="s">
        <v>695</v>
      </c>
      <c r="F295" s="195" t="s">
        <v>87</v>
      </c>
      <c r="G295" s="571">
        <f>SUM(G296:G298)</f>
        <v>4221347</v>
      </c>
      <c r="H295" s="571">
        <f>SUM(H296:H298)</f>
        <v>3962533</v>
      </c>
    </row>
    <row r="296" spans="1:8" ht="89.25">
      <c r="A296" s="5" t="s">
        <v>735</v>
      </c>
      <c r="B296" s="5"/>
      <c r="C296" s="195" t="s">
        <v>530</v>
      </c>
      <c r="D296" s="195" t="s">
        <v>534</v>
      </c>
      <c r="E296" s="195" t="s">
        <v>695</v>
      </c>
      <c r="F296" s="195">
        <v>100</v>
      </c>
      <c r="G296" s="488">
        <v>4151448</v>
      </c>
      <c r="H296" s="488">
        <v>3896920</v>
      </c>
    </row>
    <row r="297" spans="1:8" ht="38.25">
      <c r="A297" s="5" t="s">
        <v>228</v>
      </c>
      <c r="B297" s="5"/>
      <c r="C297" s="195" t="s">
        <v>530</v>
      </c>
      <c r="D297" s="195" t="s">
        <v>534</v>
      </c>
      <c r="E297" s="195" t="s">
        <v>695</v>
      </c>
      <c r="F297" s="195" t="s">
        <v>74</v>
      </c>
      <c r="G297" s="488">
        <v>69899</v>
      </c>
      <c r="H297" s="488">
        <v>65613</v>
      </c>
    </row>
    <row r="298" spans="1:8" ht="12.75" hidden="1">
      <c r="A298" s="5" t="s">
        <v>77</v>
      </c>
      <c r="B298" s="5"/>
      <c r="C298" s="195" t="s">
        <v>530</v>
      </c>
      <c r="D298" s="195" t="s">
        <v>534</v>
      </c>
      <c r="E298" s="195" t="s">
        <v>695</v>
      </c>
      <c r="F298" s="195">
        <v>800</v>
      </c>
      <c r="G298" s="488"/>
      <c r="H298" s="488"/>
    </row>
    <row r="299" spans="1:8" ht="12.75">
      <c r="A299" s="174" t="s">
        <v>723</v>
      </c>
      <c r="B299" s="174"/>
      <c r="C299" s="172" t="s">
        <v>533</v>
      </c>
      <c r="D299" s="216" t="s">
        <v>462</v>
      </c>
      <c r="E299" s="172" t="s">
        <v>87</v>
      </c>
      <c r="F299" s="172" t="s">
        <v>87</v>
      </c>
      <c r="G299" s="570">
        <f>G300</f>
        <v>334700</v>
      </c>
      <c r="H299" s="570">
        <f>H300</f>
        <v>334700</v>
      </c>
    </row>
    <row r="300" spans="1:8" ht="12.75">
      <c r="A300" s="214" t="s">
        <v>724</v>
      </c>
      <c r="B300" s="214"/>
      <c r="C300" s="213" t="s">
        <v>533</v>
      </c>
      <c r="D300" s="213" t="s">
        <v>530</v>
      </c>
      <c r="E300" s="213" t="s">
        <v>87</v>
      </c>
      <c r="F300" s="213" t="s">
        <v>87</v>
      </c>
      <c r="G300" s="571">
        <f aca="true" t="shared" si="25" ref="G300:H303">G301</f>
        <v>334700</v>
      </c>
      <c r="H300" s="571">
        <f t="shared" si="25"/>
        <v>334700</v>
      </c>
    </row>
    <row r="301" spans="1:8" ht="51">
      <c r="A301" s="211" t="s">
        <v>702</v>
      </c>
      <c r="B301" s="211"/>
      <c r="C301" s="195" t="s">
        <v>533</v>
      </c>
      <c r="D301" s="195" t="s">
        <v>530</v>
      </c>
      <c r="E301" s="196" t="s">
        <v>21</v>
      </c>
      <c r="F301" s="195" t="s">
        <v>87</v>
      </c>
      <c r="G301" s="571">
        <f t="shared" si="25"/>
        <v>334700</v>
      </c>
      <c r="H301" s="571">
        <f t="shared" si="25"/>
        <v>334700</v>
      </c>
    </row>
    <row r="302" spans="1:8" ht="63.75">
      <c r="A302" s="4" t="s">
        <v>585</v>
      </c>
      <c r="B302" s="4"/>
      <c r="C302" s="195" t="s">
        <v>533</v>
      </c>
      <c r="D302" s="195" t="s">
        <v>530</v>
      </c>
      <c r="E302" s="196" t="s">
        <v>26</v>
      </c>
      <c r="F302" s="195"/>
      <c r="G302" s="571">
        <f t="shared" si="25"/>
        <v>334700</v>
      </c>
      <c r="H302" s="571">
        <f t="shared" si="25"/>
        <v>334700</v>
      </c>
    </row>
    <row r="303" spans="1:8" ht="63.75">
      <c r="A303" s="7" t="s">
        <v>453</v>
      </c>
      <c r="B303" s="7"/>
      <c r="C303" s="195" t="s">
        <v>533</v>
      </c>
      <c r="D303" s="195" t="s">
        <v>530</v>
      </c>
      <c r="E303" s="196" t="s">
        <v>27</v>
      </c>
      <c r="F303" s="195"/>
      <c r="G303" s="571">
        <f t="shared" si="25"/>
        <v>334700</v>
      </c>
      <c r="H303" s="571">
        <f t="shared" si="25"/>
        <v>334700</v>
      </c>
    </row>
    <row r="304" spans="1:8" ht="38.25">
      <c r="A304" s="198" t="s">
        <v>470</v>
      </c>
      <c r="B304" s="198"/>
      <c r="C304" s="195" t="s">
        <v>533</v>
      </c>
      <c r="D304" s="195" t="s">
        <v>530</v>
      </c>
      <c r="E304" s="196" t="s">
        <v>28</v>
      </c>
      <c r="F304" s="209" t="s">
        <v>87</v>
      </c>
      <c r="G304" s="571">
        <f>SUM(G305:G306)</f>
        <v>334700</v>
      </c>
      <c r="H304" s="571">
        <f>SUM(H305:H306)</f>
        <v>334700</v>
      </c>
    </row>
    <row r="305" spans="1:8" ht="89.25">
      <c r="A305" s="198" t="s">
        <v>735</v>
      </c>
      <c r="B305" s="198"/>
      <c r="C305" s="195" t="s">
        <v>533</v>
      </c>
      <c r="D305" s="195" t="s">
        <v>530</v>
      </c>
      <c r="E305" s="196" t="s">
        <v>28</v>
      </c>
      <c r="F305" s="147">
        <v>100</v>
      </c>
      <c r="G305" s="488">
        <v>331700</v>
      </c>
      <c r="H305" s="488">
        <v>331700</v>
      </c>
    </row>
    <row r="306" spans="1:8" ht="38.25">
      <c r="A306" s="198" t="s">
        <v>228</v>
      </c>
      <c r="B306" s="198"/>
      <c r="C306" s="195" t="s">
        <v>533</v>
      </c>
      <c r="D306" s="195" t="s">
        <v>530</v>
      </c>
      <c r="E306" s="196" t="s">
        <v>28</v>
      </c>
      <c r="F306" s="147">
        <v>200</v>
      </c>
      <c r="G306" s="488">
        <v>3000</v>
      </c>
      <c r="H306" s="488">
        <v>3000</v>
      </c>
    </row>
    <row r="307" spans="1:8" ht="12.75">
      <c r="A307" s="174" t="s">
        <v>561</v>
      </c>
      <c r="B307" s="174"/>
      <c r="C307" s="172" t="s">
        <v>654</v>
      </c>
      <c r="D307" s="216" t="s">
        <v>462</v>
      </c>
      <c r="E307" s="172" t="s">
        <v>87</v>
      </c>
      <c r="F307" s="172" t="s">
        <v>87</v>
      </c>
      <c r="G307" s="570">
        <f aca="true" t="shared" si="26" ref="G307:H311">G308</f>
        <v>1374762</v>
      </c>
      <c r="H307" s="570">
        <f t="shared" si="26"/>
        <v>1290474</v>
      </c>
    </row>
    <row r="308" spans="1:8" ht="25.5">
      <c r="A308" s="214" t="s">
        <v>564</v>
      </c>
      <c r="B308" s="214"/>
      <c r="C308" s="213" t="s">
        <v>654</v>
      </c>
      <c r="D308" s="213" t="s">
        <v>102</v>
      </c>
      <c r="E308" s="213" t="s">
        <v>87</v>
      </c>
      <c r="F308" s="213" t="s">
        <v>87</v>
      </c>
      <c r="G308" s="571">
        <f t="shared" si="26"/>
        <v>1374762</v>
      </c>
      <c r="H308" s="571">
        <f t="shared" si="26"/>
        <v>1290474</v>
      </c>
    </row>
    <row r="309" spans="1:8" ht="51">
      <c r="A309" s="211" t="s">
        <v>279</v>
      </c>
      <c r="B309" s="211"/>
      <c r="C309" s="195" t="s">
        <v>654</v>
      </c>
      <c r="D309" s="195" t="s">
        <v>102</v>
      </c>
      <c r="E309" s="196" t="s">
        <v>557</v>
      </c>
      <c r="F309" s="195" t="s">
        <v>87</v>
      </c>
      <c r="G309" s="571">
        <f t="shared" si="26"/>
        <v>1374762</v>
      </c>
      <c r="H309" s="571">
        <f t="shared" si="26"/>
        <v>1290474</v>
      </c>
    </row>
    <row r="310" spans="1:8" ht="76.5">
      <c r="A310" s="4" t="s">
        <v>708</v>
      </c>
      <c r="B310" s="4"/>
      <c r="C310" s="195" t="s">
        <v>654</v>
      </c>
      <c r="D310" s="195" t="s">
        <v>102</v>
      </c>
      <c r="E310" s="196" t="s">
        <v>309</v>
      </c>
      <c r="F310" s="198" t="s">
        <v>87</v>
      </c>
      <c r="G310" s="571">
        <f t="shared" si="26"/>
        <v>1374762</v>
      </c>
      <c r="H310" s="571">
        <f t="shared" si="26"/>
        <v>1290474</v>
      </c>
    </row>
    <row r="311" spans="1:8" ht="63.75">
      <c r="A311" s="198" t="s">
        <v>637</v>
      </c>
      <c r="B311" s="198"/>
      <c r="C311" s="195" t="s">
        <v>654</v>
      </c>
      <c r="D311" s="195" t="s">
        <v>102</v>
      </c>
      <c r="E311" s="196" t="s">
        <v>639</v>
      </c>
      <c r="F311" s="195"/>
      <c r="G311" s="571">
        <f t="shared" si="26"/>
        <v>1374762</v>
      </c>
      <c r="H311" s="571">
        <f t="shared" si="26"/>
        <v>1290474</v>
      </c>
    </row>
    <row r="312" spans="1:8" ht="38.25">
      <c r="A312" s="198" t="s">
        <v>731</v>
      </c>
      <c r="B312" s="198"/>
      <c r="C312" s="195" t="s">
        <v>654</v>
      </c>
      <c r="D312" s="195" t="s">
        <v>102</v>
      </c>
      <c r="E312" s="196" t="s">
        <v>640</v>
      </c>
      <c r="F312" s="195"/>
      <c r="G312" s="571">
        <f>SUM(G313:G315)</f>
        <v>1374762</v>
      </c>
      <c r="H312" s="571">
        <f>SUM(H313:H315)</f>
        <v>1290474</v>
      </c>
    </row>
    <row r="313" spans="1:8" ht="89.25">
      <c r="A313" s="5" t="s">
        <v>735</v>
      </c>
      <c r="B313" s="5"/>
      <c r="C313" s="195" t="s">
        <v>654</v>
      </c>
      <c r="D313" s="195" t="s">
        <v>102</v>
      </c>
      <c r="E313" s="196" t="s">
        <v>640</v>
      </c>
      <c r="F313" s="195" t="s">
        <v>592</v>
      </c>
      <c r="G313" s="488">
        <v>1290762</v>
      </c>
      <c r="H313" s="488">
        <v>1211624</v>
      </c>
    </row>
    <row r="314" spans="1:8" ht="38.25">
      <c r="A314" s="5" t="s">
        <v>228</v>
      </c>
      <c r="B314" s="5"/>
      <c r="C314" s="195" t="s">
        <v>654</v>
      </c>
      <c r="D314" s="195" t="s">
        <v>102</v>
      </c>
      <c r="E314" s="196" t="s">
        <v>640</v>
      </c>
      <c r="F314" s="195" t="s">
        <v>74</v>
      </c>
      <c r="G314" s="488">
        <v>84000</v>
      </c>
      <c r="H314" s="488">
        <v>78850</v>
      </c>
    </row>
    <row r="315" spans="1:8" ht="12.75" hidden="1">
      <c r="A315" s="193" t="s">
        <v>77</v>
      </c>
      <c r="B315" s="193"/>
      <c r="C315" s="191" t="s">
        <v>654</v>
      </c>
      <c r="D315" s="191" t="s">
        <v>102</v>
      </c>
      <c r="E315" s="192" t="s">
        <v>640</v>
      </c>
      <c r="F315" s="191">
        <v>800</v>
      </c>
      <c r="G315" s="574"/>
      <c r="H315" s="574"/>
    </row>
    <row r="316" spans="1:8" ht="12.75">
      <c r="A316" s="174" t="s">
        <v>566</v>
      </c>
      <c r="B316" s="174"/>
      <c r="C316" s="172" t="s">
        <v>554</v>
      </c>
      <c r="D316" s="216" t="s">
        <v>462</v>
      </c>
      <c r="E316" s="172" t="s">
        <v>87</v>
      </c>
      <c r="F316" s="172" t="s">
        <v>87</v>
      </c>
      <c r="G316" s="570">
        <f>G317+G335+G348</f>
        <v>65218462</v>
      </c>
      <c r="H316" s="570">
        <f>H317+H335+H348</f>
        <v>68272936</v>
      </c>
    </row>
    <row r="317" spans="1:8" ht="12.75">
      <c r="A317" s="214" t="s">
        <v>567</v>
      </c>
      <c r="B317" s="214"/>
      <c r="C317" s="213" t="s">
        <v>554</v>
      </c>
      <c r="D317" s="213" t="s">
        <v>101</v>
      </c>
      <c r="E317" s="213" t="s">
        <v>87</v>
      </c>
      <c r="F317" s="213" t="s">
        <v>87</v>
      </c>
      <c r="G317" s="571">
        <f>G318</f>
        <v>7465212</v>
      </c>
      <c r="H317" s="571">
        <f>H318</f>
        <v>7465212</v>
      </c>
    </row>
    <row r="318" spans="1:8" ht="38.25">
      <c r="A318" s="211" t="s">
        <v>162</v>
      </c>
      <c r="B318" s="211"/>
      <c r="C318" s="195" t="s">
        <v>554</v>
      </c>
      <c r="D318" s="195" t="s">
        <v>101</v>
      </c>
      <c r="E318" s="196" t="s">
        <v>223</v>
      </c>
      <c r="F318" s="195" t="s">
        <v>87</v>
      </c>
      <c r="G318" s="571">
        <f>G319</f>
        <v>7465212</v>
      </c>
      <c r="H318" s="571">
        <f>H319</f>
        <v>7465212</v>
      </c>
    </row>
    <row r="319" spans="1:8" ht="63.75">
      <c r="A319" s="4" t="s">
        <v>163</v>
      </c>
      <c r="B319" s="4"/>
      <c r="C319" s="195" t="s">
        <v>554</v>
      </c>
      <c r="D319" s="195" t="s">
        <v>101</v>
      </c>
      <c r="E319" s="199" t="s">
        <v>117</v>
      </c>
      <c r="F319" s="198" t="s">
        <v>87</v>
      </c>
      <c r="G319" s="571">
        <f>G320+G327+G331</f>
        <v>7465212</v>
      </c>
      <c r="H319" s="571">
        <f>H320+H327+H331</f>
        <v>7465212</v>
      </c>
    </row>
    <row r="320" spans="1:8" ht="38.25">
      <c r="A320" s="8" t="s">
        <v>642</v>
      </c>
      <c r="B320" s="8"/>
      <c r="C320" s="195" t="s">
        <v>554</v>
      </c>
      <c r="D320" s="195" t="s">
        <v>101</v>
      </c>
      <c r="E320" s="199" t="s">
        <v>126</v>
      </c>
      <c r="F320" s="195"/>
      <c r="G320" s="571">
        <f>G321+G324</f>
        <v>7074641</v>
      </c>
      <c r="H320" s="571">
        <f>H321+H324</f>
        <v>7074641</v>
      </c>
    </row>
    <row r="321" spans="1:8" ht="25.5">
      <c r="A321" s="198" t="s">
        <v>589</v>
      </c>
      <c r="B321" s="198"/>
      <c r="C321" s="195" t="s">
        <v>554</v>
      </c>
      <c r="D321" s="195" t="s">
        <v>101</v>
      </c>
      <c r="E321" s="196" t="s">
        <v>643</v>
      </c>
      <c r="F321" s="195" t="s">
        <v>87</v>
      </c>
      <c r="G321" s="571">
        <f>SUM(G322:G323)</f>
        <v>6592141</v>
      </c>
      <c r="H321" s="571">
        <f>SUM(H322:H323)</f>
        <v>6592141</v>
      </c>
    </row>
    <row r="322" spans="1:8" ht="38.25">
      <c r="A322" s="5" t="s">
        <v>228</v>
      </c>
      <c r="B322" s="5"/>
      <c r="C322" s="195" t="s">
        <v>554</v>
      </c>
      <c r="D322" s="195" t="s">
        <v>101</v>
      </c>
      <c r="E322" s="196" t="s">
        <v>643</v>
      </c>
      <c r="F322" s="195">
        <v>200</v>
      </c>
      <c r="G322" s="488">
        <v>71000</v>
      </c>
      <c r="H322" s="488">
        <v>71000</v>
      </c>
    </row>
    <row r="323" spans="1:8" ht="25.5">
      <c r="A323" s="5" t="s">
        <v>81</v>
      </c>
      <c r="B323" s="5"/>
      <c r="C323" s="195" t="s">
        <v>554</v>
      </c>
      <c r="D323" s="195" t="s">
        <v>101</v>
      </c>
      <c r="E323" s="196" t="s">
        <v>643</v>
      </c>
      <c r="F323" s="195">
        <v>300</v>
      </c>
      <c r="G323" s="488">
        <v>6521141</v>
      </c>
      <c r="H323" s="488">
        <v>6521141</v>
      </c>
    </row>
    <row r="324" spans="1:8" ht="25.5">
      <c r="A324" s="198" t="s">
        <v>590</v>
      </c>
      <c r="B324" s="198"/>
      <c r="C324" s="195" t="s">
        <v>554</v>
      </c>
      <c r="D324" s="195" t="s">
        <v>101</v>
      </c>
      <c r="E324" s="196" t="s">
        <v>644</v>
      </c>
      <c r="F324" s="195" t="s">
        <v>87</v>
      </c>
      <c r="G324" s="571">
        <f>SUM(G325:G326)</f>
        <v>482500</v>
      </c>
      <c r="H324" s="571">
        <f>SUM(H325:H326)</f>
        <v>482500</v>
      </c>
    </row>
    <row r="325" spans="1:8" ht="38.25">
      <c r="A325" s="5" t="s">
        <v>228</v>
      </c>
      <c r="B325" s="5"/>
      <c r="C325" s="195" t="s">
        <v>554</v>
      </c>
      <c r="D325" s="195" t="s">
        <v>101</v>
      </c>
      <c r="E325" s="196" t="s">
        <v>644</v>
      </c>
      <c r="F325" s="195">
        <v>200</v>
      </c>
      <c r="G325" s="488">
        <v>9500</v>
      </c>
      <c r="H325" s="488">
        <v>9500</v>
      </c>
    </row>
    <row r="326" spans="1:8" ht="25.5">
      <c r="A326" s="5" t="s">
        <v>81</v>
      </c>
      <c r="B326" s="5"/>
      <c r="C326" s="195" t="s">
        <v>554</v>
      </c>
      <c r="D326" s="195" t="s">
        <v>101</v>
      </c>
      <c r="E326" s="196" t="s">
        <v>644</v>
      </c>
      <c r="F326" s="195" t="s">
        <v>80</v>
      </c>
      <c r="G326" s="488">
        <v>473000</v>
      </c>
      <c r="H326" s="488">
        <v>473000</v>
      </c>
    </row>
    <row r="327" spans="1:8" ht="38.25">
      <c r="A327" s="7" t="s">
        <v>123</v>
      </c>
      <c r="B327" s="7"/>
      <c r="C327" s="213" t="s">
        <v>554</v>
      </c>
      <c r="D327" s="213" t="s">
        <v>101</v>
      </c>
      <c r="E327" s="199" t="s">
        <v>127</v>
      </c>
      <c r="F327" s="213"/>
      <c r="G327" s="571">
        <f>G328</f>
        <v>125083</v>
      </c>
      <c r="H327" s="571">
        <f>H328</f>
        <v>125083</v>
      </c>
    </row>
    <row r="328" spans="1:8" ht="51">
      <c r="A328" s="198" t="s">
        <v>262</v>
      </c>
      <c r="B328" s="198"/>
      <c r="C328" s="195" t="s">
        <v>554</v>
      </c>
      <c r="D328" s="195" t="s">
        <v>101</v>
      </c>
      <c r="E328" s="196" t="s">
        <v>128</v>
      </c>
      <c r="F328" s="195" t="s">
        <v>87</v>
      </c>
      <c r="G328" s="571">
        <f>SUM(G329:G330)</f>
        <v>125083</v>
      </c>
      <c r="H328" s="571">
        <f>SUM(H329:H330)</f>
        <v>125083</v>
      </c>
    </row>
    <row r="329" spans="1:8" ht="38.25">
      <c r="A329" s="5" t="s">
        <v>228</v>
      </c>
      <c r="B329" s="5"/>
      <c r="C329" s="195" t="s">
        <v>554</v>
      </c>
      <c r="D329" s="195" t="s">
        <v>101</v>
      </c>
      <c r="E329" s="196" t="s">
        <v>128</v>
      </c>
      <c r="F329" s="195">
        <v>200</v>
      </c>
      <c r="G329" s="571">
        <v>1900</v>
      </c>
      <c r="H329" s="571">
        <v>1900</v>
      </c>
    </row>
    <row r="330" spans="1:8" ht="25.5">
      <c r="A330" s="5" t="s">
        <v>81</v>
      </c>
      <c r="B330" s="5"/>
      <c r="C330" s="195" t="s">
        <v>554</v>
      </c>
      <c r="D330" s="195" t="s">
        <v>101</v>
      </c>
      <c r="E330" s="196" t="s">
        <v>128</v>
      </c>
      <c r="F330" s="195" t="s">
        <v>80</v>
      </c>
      <c r="G330" s="488">
        <v>123183</v>
      </c>
      <c r="H330" s="488">
        <v>123183</v>
      </c>
    </row>
    <row r="331" spans="1:8" ht="51">
      <c r="A331" s="10" t="s">
        <v>645</v>
      </c>
      <c r="B331" s="10"/>
      <c r="C331" s="213" t="s">
        <v>554</v>
      </c>
      <c r="D331" s="213" t="s">
        <v>101</v>
      </c>
      <c r="E331" s="199" t="s">
        <v>129</v>
      </c>
      <c r="F331" s="213"/>
      <c r="G331" s="571">
        <f>G332</f>
        <v>265488</v>
      </c>
      <c r="H331" s="571">
        <f>H332</f>
        <v>265488</v>
      </c>
    </row>
    <row r="332" spans="1:8" ht="51">
      <c r="A332" s="198" t="s">
        <v>492</v>
      </c>
      <c r="B332" s="198"/>
      <c r="C332" s="195" t="s">
        <v>554</v>
      </c>
      <c r="D332" s="195" t="s">
        <v>101</v>
      </c>
      <c r="E332" s="196" t="s">
        <v>130</v>
      </c>
      <c r="F332" s="195" t="s">
        <v>87</v>
      </c>
      <c r="G332" s="571">
        <f>SUM(G333:G334)</f>
        <v>265488</v>
      </c>
      <c r="H332" s="571">
        <f>SUM(H333:H334)</f>
        <v>265488</v>
      </c>
    </row>
    <row r="333" spans="1:8" ht="38.25">
      <c r="A333" s="5" t="s">
        <v>228</v>
      </c>
      <c r="B333" s="5"/>
      <c r="C333" s="195" t="s">
        <v>554</v>
      </c>
      <c r="D333" s="195" t="s">
        <v>101</v>
      </c>
      <c r="E333" s="196" t="s">
        <v>130</v>
      </c>
      <c r="F333" s="195">
        <v>200</v>
      </c>
      <c r="G333" s="488">
        <v>2000</v>
      </c>
      <c r="H333" s="488">
        <v>2000</v>
      </c>
    </row>
    <row r="334" spans="1:8" ht="25.5">
      <c r="A334" s="5" t="s">
        <v>81</v>
      </c>
      <c r="B334" s="5"/>
      <c r="C334" s="195" t="s">
        <v>554</v>
      </c>
      <c r="D334" s="195" t="s">
        <v>101</v>
      </c>
      <c r="E334" s="196" t="s">
        <v>130</v>
      </c>
      <c r="F334" s="195">
        <v>300</v>
      </c>
      <c r="G334" s="488">
        <v>263488</v>
      </c>
      <c r="H334" s="488">
        <v>263488</v>
      </c>
    </row>
    <row r="335" spans="1:8" ht="12.75">
      <c r="A335" s="214" t="s">
        <v>568</v>
      </c>
      <c r="B335" s="214"/>
      <c r="C335" s="213" t="s">
        <v>554</v>
      </c>
      <c r="D335" s="213" t="s">
        <v>533</v>
      </c>
      <c r="E335" s="213" t="s">
        <v>87</v>
      </c>
      <c r="F335" s="213" t="s">
        <v>87</v>
      </c>
      <c r="G335" s="571">
        <f>G336</f>
        <v>53311450</v>
      </c>
      <c r="H335" s="571">
        <f>H336</f>
        <v>56365924</v>
      </c>
    </row>
    <row r="336" spans="1:8" ht="38.25">
      <c r="A336" s="211" t="s">
        <v>162</v>
      </c>
      <c r="B336" s="211"/>
      <c r="C336" s="195" t="s">
        <v>554</v>
      </c>
      <c r="D336" s="195" t="s">
        <v>533</v>
      </c>
      <c r="E336" s="196" t="s">
        <v>223</v>
      </c>
      <c r="F336" s="195"/>
      <c r="G336" s="571">
        <f>G337</f>
        <v>53311450</v>
      </c>
      <c r="H336" s="571">
        <f>H337</f>
        <v>56365924</v>
      </c>
    </row>
    <row r="337" spans="1:8" ht="89.25">
      <c r="A337" s="4" t="s">
        <v>240</v>
      </c>
      <c r="B337" s="4"/>
      <c r="C337" s="195" t="s">
        <v>554</v>
      </c>
      <c r="D337" s="195" t="s">
        <v>533</v>
      </c>
      <c r="E337" s="199" t="s">
        <v>7</v>
      </c>
      <c r="F337" s="198" t="s">
        <v>87</v>
      </c>
      <c r="G337" s="571">
        <f>G338+G345</f>
        <v>53311450</v>
      </c>
      <c r="H337" s="571">
        <f>H338+H345</f>
        <v>56365924</v>
      </c>
    </row>
    <row r="338" spans="1:8" ht="63.75">
      <c r="A338" s="8" t="s">
        <v>757</v>
      </c>
      <c r="B338" s="8"/>
      <c r="C338" s="195" t="s">
        <v>554</v>
      </c>
      <c r="D338" s="195" t="s">
        <v>533</v>
      </c>
      <c r="E338" s="195" t="s">
        <v>124</v>
      </c>
      <c r="F338" s="195"/>
      <c r="G338" s="571">
        <f>G339+G341+G343</f>
        <v>47192196</v>
      </c>
      <c r="H338" s="571">
        <f>H339+H341+H343</f>
        <v>50039667</v>
      </c>
    </row>
    <row r="339" spans="1:8" ht="12.75">
      <c r="A339" s="7" t="s">
        <v>555</v>
      </c>
      <c r="B339" s="7"/>
      <c r="C339" s="195" t="s">
        <v>554</v>
      </c>
      <c r="D339" s="195" t="s">
        <v>533</v>
      </c>
      <c r="E339" s="196" t="s">
        <v>758</v>
      </c>
      <c r="F339" s="195"/>
      <c r="G339" s="571">
        <f>G340</f>
        <v>1707915</v>
      </c>
      <c r="H339" s="571">
        <f>H340</f>
        <v>1707915</v>
      </c>
    </row>
    <row r="340" spans="1:8" ht="25.5">
      <c r="A340" s="5" t="s">
        <v>81</v>
      </c>
      <c r="B340" s="5"/>
      <c r="C340" s="195" t="s">
        <v>554</v>
      </c>
      <c r="D340" s="195" t="s">
        <v>533</v>
      </c>
      <c r="E340" s="196" t="s">
        <v>758</v>
      </c>
      <c r="F340" s="195">
        <v>300</v>
      </c>
      <c r="G340" s="488">
        <v>1707915</v>
      </c>
      <c r="H340" s="488">
        <v>1707915</v>
      </c>
    </row>
    <row r="341" spans="1:8" ht="38.25">
      <c r="A341" s="311" t="s">
        <v>510</v>
      </c>
      <c r="B341" s="5"/>
      <c r="C341" s="195" t="s">
        <v>554</v>
      </c>
      <c r="D341" s="195" t="s">
        <v>533</v>
      </c>
      <c r="E341" s="196" t="s">
        <v>511</v>
      </c>
      <c r="F341" s="195"/>
      <c r="G341" s="488">
        <f>G342</f>
        <v>44608300</v>
      </c>
      <c r="H341" s="488">
        <f>H342</f>
        <v>47416182</v>
      </c>
    </row>
    <row r="342" spans="1:8" ht="25.5">
      <c r="A342" s="5" t="s">
        <v>81</v>
      </c>
      <c r="B342" s="5"/>
      <c r="C342" s="195" t="s">
        <v>554</v>
      </c>
      <c r="D342" s="195" t="s">
        <v>533</v>
      </c>
      <c r="E342" s="196" t="s">
        <v>511</v>
      </c>
      <c r="F342" s="195">
        <v>300</v>
      </c>
      <c r="G342" s="488">
        <v>44608300</v>
      </c>
      <c r="H342" s="488">
        <v>47416182</v>
      </c>
    </row>
    <row r="343" spans="1:8" ht="51">
      <c r="A343" s="311" t="s">
        <v>512</v>
      </c>
      <c r="B343" s="5"/>
      <c r="C343" s="195" t="s">
        <v>554</v>
      </c>
      <c r="D343" s="195" t="s">
        <v>533</v>
      </c>
      <c r="E343" s="196" t="s">
        <v>513</v>
      </c>
      <c r="F343" s="195"/>
      <c r="G343" s="488">
        <f>G344</f>
        <v>875981</v>
      </c>
      <c r="H343" s="488">
        <f>H344</f>
        <v>915570</v>
      </c>
    </row>
    <row r="344" spans="1:8" ht="38.25">
      <c r="A344" s="5" t="s">
        <v>228</v>
      </c>
      <c r="B344" s="5"/>
      <c r="C344" s="195" t="s">
        <v>554</v>
      </c>
      <c r="D344" s="195" t="s">
        <v>533</v>
      </c>
      <c r="E344" s="196" t="s">
        <v>513</v>
      </c>
      <c r="F344" s="195">
        <v>200</v>
      </c>
      <c r="G344" s="488">
        <v>875981</v>
      </c>
      <c r="H344" s="488">
        <v>915570</v>
      </c>
    </row>
    <row r="345" spans="1:8" ht="76.5">
      <c r="A345" s="8" t="s">
        <v>125</v>
      </c>
      <c r="B345" s="8"/>
      <c r="C345" s="195" t="s">
        <v>554</v>
      </c>
      <c r="D345" s="195" t="s">
        <v>533</v>
      </c>
      <c r="E345" s="199" t="s">
        <v>759</v>
      </c>
      <c r="F345" s="198"/>
      <c r="G345" s="571">
        <f>G346</f>
        <v>6119254</v>
      </c>
      <c r="H345" s="571">
        <f>H346</f>
        <v>6326257</v>
      </c>
    </row>
    <row r="346" spans="1:8" ht="51">
      <c r="A346" s="198" t="s">
        <v>591</v>
      </c>
      <c r="B346" s="198"/>
      <c r="C346" s="195" t="s">
        <v>554</v>
      </c>
      <c r="D346" s="195" t="s">
        <v>533</v>
      </c>
      <c r="E346" s="196" t="s">
        <v>760</v>
      </c>
      <c r="F346" s="195" t="s">
        <v>87</v>
      </c>
      <c r="G346" s="571">
        <f>SUM(G347:G347)</f>
        <v>6119254</v>
      </c>
      <c r="H346" s="571">
        <f>SUM(H347:H347)</f>
        <v>6326257</v>
      </c>
    </row>
    <row r="347" spans="1:8" ht="25.5">
      <c r="A347" s="5" t="s">
        <v>81</v>
      </c>
      <c r="B347" s="5"/>
      <c r="C347" s="195" t="s">
        <v>554</v>
      </c>
      <c r="D347" s="195" t="s">
        <v>533</v>
      </c>
      <c r="E347" s="196" t="s">
        <v>760</v>
      </c>
      <c r="F347" s="195">
        <v>300</v>
      </c>
      <c r="G347" s="488">
        <v>6119254</v>
      </c>
      <c r="H347" s="488">
        <v>6326257</v>
      </c>
    </row>
    <row r="348" spans="1:8" ht="25.5">
      <c r="A348" s="214" t="s">
        <v>573</v>
      </c>
      <c r="B348" s="214"/>
      <c r="C348" s="213" t="s">
        <v>554</v>
      </c>
      <c r="D348" s="213" t="s">
        <v>534</v>
      </c>
      <c r="E348" s="213" t="s">
        <v>87</v>
      </c>
      <c r="F348" s="213" t="s">
        <v>87</v>
      </c>
      <c r="G348" s="571">
        <f aca="true" t="shared" si="27" ref="G348:H350">G349</f>
        <v>4441800</v>
      </c>
      <c r="H348" s="571">
        <f t="shared" si="27"/>
        <v>4441800</v>
      </c>
    </row>
    <row r="349" spans="1:8" ht="38.25">
      <c r="A349" s="211" t="s">
        <v>162</v>
      </c>
      <c r="B349" s="211"/>
      <c r="C349" s="195" t="s">
        <v>554</v>
      </c>
      <c r="D349" s="195" t="s">
        <v>534</v>
      </c>
      <c r="E349" s="196" t="s">
        <v>223</v>
      </c>
      <c r="F349" s="195" t="s">
        <v>87</v>
      </c>
      <c r="G349" s="571">
        <f>G350+G360</f>
        <v>4441800</v>
      </c>
      <c r="H349" s="571">
        <f>H350+H360</f>
        <v>4441800</v>
      </c>
    </row>
    <row r="350" spans="1:8" ht="76.5">
      <c r="A350" s="4" t="s">
        <v>380</v>
      </c>
      <c r="B350" s="4"/>
      <c r="C350" s="195" t="s">
        <v>554</v>
      </c>
      <c r="D350" s="195" t="s">
        <v>534</v>
      </c>
      <c r="E350" s="199" t="s">
        <v>6</v>
      </c>
      <c r="F350" s="198" t="s">
        <v>87</v>
      </c>
      <c r="G350" s="571">
        <f t="shared" si="27"/>
        <v>3437700</v>
      </c>
      <c r="H350" s="571">
        <f t="shared" si="27"/>
        <v>3437700</v>
      </c>
    </row>
    <row r="351" spans="1:8" ht="63.75">
      <c r="A351" s="11" t="s">
        <v>761</v>
      </c>
      <c r="B351" s="11"/>
      <c r="C351" s="195" t="s">
        <v>554</v>
      </c>
      <c r="D351" s="195" t="s">
        <v>534</v>
      </c>
      <c r="E351" s="199" t="s">
        <v>762</v>
      </c>
      <c r="F351" s="198"/>
      <c r="G351" s="571">
        <f>G352+G356</f>
        <v>3437700</v>
      </c>
      <c r="H351" s="571">
        <f>H352+H356</f>
        <v>3437700</v>
      </c>
    </row>
    <row r="352" spans="1:8" ht="51">
      <c r="A352" s="198" t="s">
        <v>390</v>
      </c>
      <c r="B352" s="198"/>
      <c r="C352" s="195" t="s">
        <v>554</v>
      </c>
      <c r="D352" s="195" t="s">
        <v>534</v>
      </c>
      <c r="E352" s="199" t="s">
        <v>763</v>
      </c>
      <c r="F352" s="195" t="s">
        <v>87</v>
      </c>
      <c r="G352" s="571">
        <f>SUM(G353:G355)</f>
        <v>2342900</v>
      </c>
      <c r="H352" s="571">
        <f>SUM(H353:H355)</f>
        <v>2342900</v>
      </c>
    </row>
    <row r="353" spans="1:8" ht="89.25">
      <c r="A353" s="5" t="s">
        <v>735</v>
      </c>
      <c r="B353" s="5"/>
      <c r="C353" s="195" t="s">
        <v>554</v>
      </c>
      <c r="D353" s="195" t="s">
        <v>534</v>
      </c>
      <c r="E353" s="199" t="s">
        <v>763</v>
      </c>
      <c r="F353" s="195">
        <v>100</v>
      </c>
      <c r="G353" s="488">
        <v>2232400</v>
      </c>
      <c r="H353" s="488">
        <v>2232400</v>
      </c>
    </row>
    <row r="354" spans="1:8" ht="38.25">
      <c r="A354" s="5" t="s">
        <v>228</v>
      </c>
      <c r="B354" s="5"/>
      <c r="C354" s="195" t="s">
        <v>554</v>
      </c>
      <c r="D354" s="195" t="s">
        <v>534</v>
      </c>
      <c r="E354" s="199" t="s">
        <v>763</v>
      </c>
      <c r="F354" s="198">
        <v>200</v>
      </c>
      <c r="G354" s="488">
        <v>110000</v>
      </c>
      <c r="H354" s="488">
        <v>110000</v>
      </c>
    </row>
    <row r="355" spans="1:8" ht="12.75">
      <c r="A355" s="5" t="s">
        <v>77</v>
      </c>
      <c r="B355" s="5"/>
      <c r="C355" s="195" t="s">
        <v>554</v>
      </c>
      <c r="D355" s="195" t="s">
        <v>534</v>
      </c>
      <c r="E355" s="199" t="s">
        <v>763</v>
      </c>
      <c r="F355" s="198">
        <v>800</v>
      </c>
      <c r="G355" s="488">
        <v>500</v>
      </c>
      <c r="H355" s="488">
        <v>500</v>
      </c>
    </row>
    <row r="356" spans="1:8" ht="89.25">
      <c r="A356" s="159" t="s">
        <v>710</v>
      </c>
      <c r="B356" s="5"/>
      <c r="C356" s="195" t="s">
        <v>554</v>
      </c>
      <c r="D356" s="195" t="s">
        <v>534</v>
      </c>
      <c r="E356" s="196" t="s">
        <v>333</v>
      </c>
      <c r="F356" s="198"/>
      <c r="G356" s="488">
        <f>G357+G358+G359</f>
        <v>1094800</v>
      </c>
      <c r="H356" s="488">
        <f>H357+H358+H359</f>
        <v>1094800</v>
      </c>
    </row>
    <row r="357" spans="1:8" ht="89.25">
      <c r="A357" s="5" t="s">
        <v>735</v>
      </c>
      <c r="B357" s="5"/>
      <c r="C357" s="195" t="s">
        <v>554</v>
      </c>
      <c r="D357" s="195" t="s">
        <v>534</v>
      </c>
      <c r="E357" s="196" t="s">
        <v>333</v>
      </c>
      <c r="F357" s="198">
        <v>100</v>
      </c>
      <c r="G357" s="488">
        <v>982100</v>
      </c>
      <c r="H357" s="488">
        <v>982100</v>
      </c>
    </row>
    <row r="358" spans="1:8" ht="38.25">
      <c r="A358" s="5" t="s">
        <v>228</v>
      </c>
      <c r="B358" s="5"/>
      <c r="C358" s="195" t="s">
        <v>554</v>
      </c>
      <c r="D358" s="195" t="s">
        <v>534</v>
      </c>
      <c r="E358" s="196" t="s">
        <v>333</v>
      </c>
      <c r="F358" s="198">
        <v>200</v>
      </c>
      <c r="G358" s="488">
        <v>112200</v>
      </c>
      <c r="H358" s="488">
        <v>112200</v>
      </c>
    </row>
    <row r="359" spans="1:8" ht="12.75">
      <c r="A359" s="193" t="s">
        <v>77</v>
      </c>
      <c r="B359" s="193"/>
      <c r="C359" s="191" t="s">
        <v>554</v>
      </c>
      <c r="D359" s="191" t="s">
        <v>534</v>
      </c>
      <c r="E359" s="192" t="s">
        <v>333</v>
      </c>
      <c r="F359" s="217">
        <v>800</v>
      </c>
      <c r="G359" s="574">
        <v>500</v>
      </c>
      <c r="H359" s="574">
        <v>500</v>
      </c>
    </row>
    <row r="360" spans="1:8" ht="89.25">
      <c r="A360" s="4" t="s">
        <v>172</v>
      </c>
      <c r="B360" s="4"/>
      <c r="C360" s="195" t="s">
        <v>554</v>
      </c>
      <c r="D360" s="195" t="s">
        <v>534</v>
      </c>
      <c r="E360" s="195" t="s">
        <v>7</v>
      </c>
      <c r="F360" s="198" t="s">
        <v>87</v>
      </c>
      <c r="G360" s="571">
        <f>G361</f>
        <v>1004100</v>
      </c>
      <c r="H360" s="571">
        <f>H361</f>
        <v>1004100</v>
      </c>
    </row>
    <row r="361" spans="1:8" ht="63.75">
      <c r="A361" s="5" t="s">
        <v>588</v>
      </c>
      <c r="B361" s="5"/>
      <c r="C361" s="195" t="s">
        <v>554</v>
      </c>
      <c r="D361" s="195" t="s">
        <v>534</v>
      </c>
      <c r="E361" s="195" t="s">
        <v>595</v>
      </c>
      <c r="F361" s="198"/>
      <c r="G361" s="571">
        <f>G362</f>
        <v>1004100</v>
      </c>
      <c r="H361" s="571">
        <f>H362</f>
        <v>1004100</v>
      </c>
    </row>
    <row r="362" spans="1:8" ht="76.5">
      <c r="A362" s="198" t="s">
        <v>282</v>
      </c>
      <c r="B362" s="198"/>
      <c r="C362" s="195" t="s">
        <v>554</v>
      </c>
      <c r="D362" s="195" t="s">
        <v>534</v>
      </c>
      <c r="E362" s="196" t="s">
        <v>452</v>
      </c>
      <c r="F362" s="195"/>
      <c r="G362" s="571">
        <f>SUM(G363:G364)</f>
        <v>1004100</v>
      </c>
      <c r="H362" s="571">
        <f>SUM(H363:H364)</f>
        <v>1004100</v>
      </c>
    </row>
    <row r="363" spans="1:8" ht="89.25">
      <c r="A363" s="5" t="s">
        <v>735</v>
      </c>
      <c r="B363" s="5"/>
      <c r="C363" s="195" t="s">
        <v>554</v>
      </c>
      <c r="D363" s="195" t="s">
        <v>534</v>
      </c>
      <c r="E363" s="196" t="s">
        <v>452</v>
      </c>
      <c r="F363" s="195">
        <v>100</v>
      </c>
      <c r="G363" s="488">
        <v>967900</v>
      </c>
      <c r="H363" s="488">
        <v>967900</v>
      </c>
    </row>
    <row r="364" spans="1:8" ht="38.25">
      <c r="A364" s="193" t="s">
        <v>228</v>
      </c>
      <c r="B364" s="193"/>
      <c r="C364" s="195" t="s">
        <v>554</v>
      </c>
      <c r="D364" s="195" t="s">
        <v>534</v>
      </c>
      <c r="E364" s="192" t="s">
        <v>452</v>
      </c>
      <c r="F364" s="191" t="s">
        <v>74</v>
      </c>
      <c r="G364" s="574">
        <v>36200</v>
      </c>
      <c r="H364" s="574">
        <v>36200</v>
      </c>
    </row>
    <row r="365" spans="1:8" ht="25.5">
      <c r="A365" s="174" t="s">
        <v>75</v>
      </c>
      <c r="B365" s="174"/>
      <c r="C365" s="172" t="s">
        <v>100</v>
      </c>
      <c r="D365" s="216" t="s">
        <v>462</v>
      </c>
      <c r="E365" s="172" t="s">
        <v>87</v>
      </c>
      <c r="F365" s="172" t="s">
        <v>87</v>
      </c>
      <c r="G365" s="576">
        <f aca="true" t="shared" si="28" ref="G365:H370">G366</f>
        <v>55000</v>
      </c>
      <c r="H365" s="576">
        <f t="shared" si="28"/>
        <v>51628</v>
      </c>
    </row>
    <row r="366" spans="1:8" ht="29.25" customHeight="1">
      <c r="A366" s="214" t="s">
        <v>76</v>
      </c>
      <c r="B366" s="214"/>
      <c r="C366" s="213" t="s">
        <v>100</v>
      </c>
      <c r="D366" s="213" t="s">
        <v>530</v>
      </c>
      <c r="E366" s="212" t="s">
        <v>87</v>
      </c>
      <c r="F366" s="212" t="s">
        <v>87</v>
      </c>
      <c r="G366" s="571">
        <f t="shared" si="28"/>
        <v>55000</v>
      </c>
      <c r="H366" s="571">
        <f t="shared" si="28"/>
        <v>51628</v>
      </c>
    </row>
    <row r="367" spans="1:8" ht="38.25">
      <c r="A367" s="211" t="s">
        <v>171</v>
      </c>
      <c r="B367" s="211"/>
      <c r="C367" s="195" t="s">
        <v>100</v>
      </c>
      <c r="D367" s="195" t="s">
        <v>530</v>
      </c>
      <c r="E367" s="196" t="s">
        <v>693</v>
      </c>
      <c r="F367" s="209" t="s">
        <v>87</v>
      </c>
      <c r="G367" s="571">
        <f t="shared" si="28"/>
        <v>55000</v>
      </c>
      <c r="H367" s="571">
        <f t="shared" si="28"/>
        <v>51628</v>
      </c>
    </row>
    <row r="368" spans="1:8" ht="76.5">
      <c r="A368" s="4" t="s">
        <v>391</v>
      </c>
      <c r="B368" s="4"/>
      <c r="C368" s="195" t="s">
        <v>100</v>
      </c>
      <c r="D368" s="195" t="s">
        <v>530</v>
      </c>
      <c r="E368" s="196" t="s">
        <v>119</v>
      </c>
      <c r="F368" s="210" t="s">
        <v>87</v>
      </c>
      <c r="G368" s="571">
        <f t="shared" si="28"/>
        <v>55000</v>
      </c>
      <c r="H368" s="571">
        <f t="shared" si="28"/>
        <v>51628</v>
      </c>
    </row>
    <row r="369" spans="1:8" ht="76.5">
      <c r="A369" s="7" t="s">
        <v>118</v>
      </c>
      <c r="B369" s="7"/>
      <c r="C369" s="195" t="s">
        <v>100</v>
      </c>
      <c r="D369" s="195" t="s">
        <v>530</v>
      </c>
      <c r="E369" s="196" t="s">
        <v>120</v>
      </c>
      <c r="F369" s="210"/>
      <c r="G369" s="571">
        <f t="shared" si="28"/>
        <v>55000</v>
      </c>
      <c r="H369" s="571">
        <f t="shared" si="28"/>
        <v>51628</v>
      </c>
    </row>
    <row r="370" spans="1:8" ht="19.5" customHeight="1">
      <c r="A370" s="12" t="s">
        <v>121</v>
      </c>
      <c r="B370" s="12"/>
      <c r="C370" s="195" t="s">
        <v>100</v>
      </c>
      <c r="D370" s="195" t="s">
        <v>530</v>
      </c>
      <c r="E370" s="196" t="s">
        <v>122</v>
      </c>
      <c r="F370" s="209" t="s">
        <v>87</v>
      </c>
      <c r="G370" s="571">
        <f t="shared" si="28"/>
        <v>55000</v>
      </c>
      <c r="H370" s="571">
        <f t="shared" si="28"/>
        <v>51628</v>
      </c>
    </row>
    <row r="371" spans="1:8" ht="25.5">
      <c r="A371" s="193" t="s">
        <v>493</v>
      </c>
      <c r="B371" s="193"/>
      <c r="C371" s="191" t="s">
        <v>100</v>
      </c>
      <c r="D371" s="191" t="s">
        <v>530</v>
      </c>
      <c r="E371" s="192" t="s">
        <v>122</v>
      </c>
      <c r="F371" s="191" t="s">
        <v>82</v>
      </c>
      <c r="G371" s="574">
        <v>55000</v>
      </c>
      <c r="H371" s="574">
        <v>51628</v>
      </c>
    </row>
    <row r="372" spans="1:8" ht="25.5">
      <c r="A372" s="208" t="s">
        <v>546</v>
      </c>
      <c r="B372" s="207" t="s">
        <v>545</v>
      </c>
      <c r="C372" s="318"/>
      <c r="D372" s="318"/>
      <c r="E372" s="319"/>
      <c r="F372" s="206"/>
      <c r="G372" s="583">
        <f>G373</f>
        <v>1025105</v>
      </c>
      <c r="H372" s="583">
        <f>H373</f>
        <v>962255</v>
      </c>
    </row>
    <row r="373" spans="1:8" ht="38.25">
      <c r="A373" s="204" t="s">
        <v>169</v>
      </c>
      <c r="B373" s="204"/>
      <c r="C373" s="203" t="s">
        <v>530</v>
      </c>
      <c r="D373" s="203" t="s">
        <v>534</v>
      </c>
      <c r="E373" s="202" t="s">
        <v>696</v>
      </c>
      <c r="F373" s="201" t="s">
        <v>87</v>
      </c>
      <c r="G373" s="584">
        <f>G374+G377</f>
        <v>1025105</v>
      </c>
      <c r="H373" s="584">
        <f>H374+H377</f>
        <v>962255</v>
      </c>
    </row>
    <row r="374" spans="1:8" ht="38.25">
      <c r="A374" s="4" t="s">
        <v>170</v>
      </c>
      <c r="B374" s="4"/>
      <c r="C374" s="195" t="s">
        <v>530</v>
      </c>
      <c r="D374" s="195" t="s">
        <v>534</v>
      </c>
      <c r="E374" s="199" t="s">
        <v>697</v>
      </c>
      <c r="F374" s="195" t="s">
        <v>87</v>
      </c>
      <c r="G374" s="571">
        <f>G375</f>
        <v>664065</v>
      </c>
      <c r="H374" s="571">
        <f>H375</f>
        <v>623557</v>
      </c>
    </row>
    <row r="375" spans="1:8" ht="38.25">
      <c r="A375" s="198" t="s">
        <v>731</v>
      </c>
      <c r="B375" s="198"/>
      <c r="C375" s="195" t="s">
        <v>530</v>
      </c>
      <c r="D375" s="195" t="s">
        <v>534</v>
      </c>
      <c r="E375" s="196" t="s">
        <v>698</v>
      </c>
      <c r="F375" s="195"/>
      <c r="G375" s="571">
        <f>SUM(G376:G376)</f>
        <v>664065</v>
      </c>
      <c r="H375" s="571">
        <f>SUM(H376:H376)</f>
        <v>623557</v>
      </c>
    </row>
    <row r="376" spans="1:8" ht="89.25">
      <c r="A376" s="5" t="s">
        <v>735</v>
      </c>
      <c r="B376" s="5"/>
      <c r="C376" s="195" t="s">
        <v>530</v>
      </c>
      <c r="D376" s="195" t="s">
        <v>534</v>
      </c>
      <c r="E376" s="196" t="s">
        <v>698</v>
      </c>
      <c r="F376" s="195">
        <v>100</v>
      </c>
      <c r="G376" s="571">
        <v>664065</v>
      </c>
      <c r="H376" s="571">
        <v>623557</v>
      </c>
    </row>
    <row r="377" spans="1:8" ht="25.5">
      <c r="A377" s="5" t="s">
        <v>40</v>
      </c>
      <c r="B377" s="5"/>
      <c r="C377" s="195" t="s">
        <v>530</v>
      </c>
      <c r="D377" s="195" t="s">
        <v>534</v>
      </c>
      <c r="E377" s="199" t="s">
        <v>39</v>
      </c>
      <c r="F377" s="195"/>
      <c r="G377" s="571">
        <f>G378</f>
        <v>361040</v>
      </c>
      <c r="H377" s="571">
        <f>H378</f>
        <v>338698</v>
      </c>
    </row>
    <row r="378" spans="1:8" ht="38.25">
      <c r="A378" s="198" t="s">
        <v>731</v>
      </c>
      <c r="B378" s="198"/>
      <c r="C378" s="195" t="s">
        <v>530</v>
      </c>
      <c r="D378" s="195" t="s">
        <v>534</v>
      </c>
      <c r="E378" s="196" t="s">
        <v>38</v>
      </c>
      <c r="F378" s="195"/>
      <c r="G378" s="571">
        <f>SUM(G379:G380)</f>
        <v>361040</v>
      </c>
      <c r="H378" s="571">
        <f>SUM(H379:H380)</f>
        <v>338698</v>
      </c>
    </row>
    <row r="379" spans="1:8" ht="89.25">
      <c r="A379" s="5" t="s">
        <v>735</v>
      </c>
      <c r="B379" s="5"/>
      <c r="C379" s="195" t="s">
        <v>530</v>
      </c>
      <c r="D379" s="195" t="s">
        <v>534</v>
      </c>
      <c r="E379" s="196" t="s">
        <v>38</v>
      </c>
      <c r="F379" s="195">
        <v>100</v>
      </c>
      <c r="G379" s="488">
        <v>361040</v>
      </c>
      <c r="H379" s="488">
        <v>338698</v>
      </c>
    </row>
    <row r="380" spans="1:8" ht="38.25" hidden="1">
      <c r="A380" s="193" t="s">
        <v>228</v>
      </c>
      <c r="B380" s="193"/>
      <c r="C380" s="191" t="s">
        <v>530</v>
      </c>
      <c r="D380" s="191" t="s">
        <v>534</v>
      </c>
      <c r="E380" s="192" t="s">
        <v>38</v>
      </c>
      <c r="F380" s="191">
        <v>200</v>
      </c>
      <c r="G380" s="574"/>
      <c r="H380" s="574"/>
    </row>
    <row r="381" spans="1:8" ht="12.75">
      <c r="A381" s="320" t="s">
        <v>764</v>
      </c>
      <c r="B381" s="321"/>
      <c r="C381" s="176"/>
      <c r="D381" s="176"/>
      <c r="E381" s="322"/>
      <c r="F381" s="176"/>
      <c r="G381" s="585">
        <v>4301916</v>
      </c>
      <c r="H381" s="585">
        <f>9468328+353755</f>
        <v>9822083</v>
      </c>
    </row>
  </sheetData>
  <sheetProtection/>
  <mergeCells count="2">
    <mergeCell ref="A3:H3"/>
    <mergeCell ref="A5:H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68"/>
  <sheetViews>
    <sheetView showGridLines="0" zoomScaleSheetLayoutView="100" zoomScalePageLayoutView="0" workbookViewId="0" topLeftCell="A255">
      <selection activeCell="D264" sqref="D264"/>
    </sheetView>
  </sheetViews>
  <sheetFormatPr defaultColWidth="9.140625" defaultRowHeight="12.75"/>
  <cols>
    <col min="1" max="1" width="59.28125" style="140" customWidth="1"/>
    <col min="2" max="2" width="13.421875" style="140" bestFit="1" customWidth="1"/>
    <col min="3" max="3" width="4.57421875" style="140" customWidth="1"/>
    <col min="4" max="4" width="14.00390625" style="140" customWidth="1"/>
    <col min="5" max="5" width="11.421875" style="252" customWidth="1"/>
    <col min="6" max="6" width="9.140625" style="251" customWidth="1"/>
    <col min="7" max="16384" width="9.140625" style="140" customWidth="1"/>
  </cols>
  <sheetData>
    <row r="1" spans="1:4" ht="12.75">
      <c r="A1" s="187"/>
      <c r="B1" s="185"/>
      <c r="C1" s="185"/>
      <c r="D1" s="273" t="s">
        <v>537</v>
      </c>
    </row>
    <row r="2" spans="1:4" ht="12.75">
      <c r="A2" s="187"/>
      <c r="B2" s="185"/>
      <c r="C2" s="185"/>
      <c r="D2" s="36" t="s">
        <v>263</v>
      </c>
    </row>
    <row r="3" spans="1:4" ht="12.75">
      <c r="A3" s="496" t="s">
        <v>1016</v>
      </c>
      <c r="B3" s="496"/>
      <c r="C3" s="496"/>
      <c r="D3" s="496"/>
    </row>
    <row r="4" spans="1:4" ht="12.75">
      <c r="A4" s="186"/>
      <c r="B4" s="185"/>
      <c r="C4" s="185"/>
      <c r="D4" s="272"/>
    </row>
    <row r="5" spans="1:4" ht="38.25">
      <c r="A5" s="184" t="s">
        <v>922</v>
      </c>
      <c r="B5" s="184"/>
      <c r="C5" s="184"/>
      <c r="D5" s="184"/>
    </row>
    <row r="6" spans="1:4" ht="12.75">
      <c r="A6" s="182"/>
      <c r="B6" s="182"/>
      <c r="C6" s="182"/>
      <c r="D6" s="182" t="s">
        <v>88</v>
      </c>
    </row>
    <row r="7" spans="1:4" ht="12.75">
      <c r="A7" s="180" t="s">
        <v>84</v>
      </c>
      <c r="B7" s="180" t="s">
        <v>525</v>
      </c>
      <c r="C7" s="180" t="s">
        <v>526</v>
      </c>
      <c r="D7" s="180" t="s">
        <v>290</v>
      </c>
    </row>
    <row r="8" spans="1:5" ht="12.75">
      <c r="A8" s="271" t="s">
        <v>72</v>
      </c>
      <c r="B8" s="271">
        <v>2</v>
      </c>
      <c r="C8" s="271">
        <v>3</v>
      </c>
      <c r="D8" s="271">
        <v>4</v>
      </c>
      <c r="E8" s="141"/>
    </row>
    <row r="9" spans="1:6" ht="12.75">
      <c r="A9" s="177" t="s">
        <v>89</v>
      </c>
      <c r="B9" s="176" t="s">
        <v>87</v>
      </c>
      <c r="C9" s="176" t="s">
        <v>87</v>
      </c>
      <c r="D9" s="175">
        <f>D10+D25+D78+D157+D163+D193+D211+D233+D243+D255+D266+D270+D280+D289+D294+D298+D307+D315+D321+D363</f>
        <v>749239034.1</v>
      </c>
      <c r="E9" s="189"/>
      <c r="F9" s="270"/>
    </row>
    <row r="10" spans="1:5" ht="25.5">
      <c r="A10" s="269" t="s">
        <v>15</v>
      </c>
      <c r="B10" s="268" t="s">
        <v>315</v>
      </c>
      <c r="C10" s="267" t="s">
        <v>87</v>
      </c>
      <c r="D10" s="215">
        <f>D11+D17</f>
        <v>28914423</v>
      </c>
      <c r="E10" s="189"/>
    </row>
    <row r="11" spans="1:5" ht="25.5">
      <c r="A11" s="4" t="s">
        <v>586</v>
      </c>
      <c r="B11" s="196" t="s">
        <v>316</v>
      </c>
      <c r="C11" s="195" t="s">
        <v>87</v>
      </c>
      <c r="D11" s="197">
        <f>D12</f>
        <v>5279218</v>
      </c>
      <c r="E11" s="189"/>
    </row>
    <row r="12" spans="1:5" ht="12.75">
      <c r="A12" s="8" t="s">
        <v>483</v>
      </c>
      <c r="B12" s="196" t="s">
        <v>317</v>
      </c>
      <c r="C12" s="195"/>
      <c r="D12" s="197">
        <f>D13</f>
        <v>5279218</v>
      </c>
      <c r="E12" s="189"/>
    </row>
    <row r="13" spans="1:5" ht="25.5">
      <c r="A13" s="198" t="s">
        <v>733</v>
      </c>
      <c r="B13" s="196" t="s">
        <v>318</v>
      </c>
      <c r="C13" s="195" t="s">
        <v>87</v>
      </c>
      <c r="D13" s="197">
        <f>SUM(D14:D16)</f>
        <v>5279218</v>
      </c>
      <c r="E13" s="189"/>
    </row>
    <row r="14" spans="1:5" ht="51">
      <c r="A14" s="5" t="s">
        <v>735</v>
      </c>
      <c r="B14" s="196" t="s">
        <v>318</v>
      </c>
      <c r="C14" s="195">
        <v>100</v>
      </c>
      <c r="D14" s="194">
        <v>4920154</v>
      </c>
      <c r="E14" s="189"/>
    </row>
    <row r="15" spans="1:5" ht="25.5">
      <c r="A15" s="5" t="s">
        <v>228</v>
      </c>
      <c r="B15" s="196" t="s">
        <v>318</v>
      </c>
      <c r="C15" s="195">
        <v>200</v>
      </c>
      <c r="D15" s="194">
        <v>326168</v>
      </c>
      <c r="E15" s="189"/>
    </row>
    <row r="16" spans="1:5" ht="12.75">
      <c r="A16" s="5" t="s">
        <v>77</v>
      </c>
      <c r="B16" s="196" t="s">
        <v>318</v>
      </c>
      <c r="C16" s="195">
        <v>800</v>
      </c>
      <c r="D16" s="194">
        <v>32896</v>
      </c>
      <c r="E16" s="189"/>
    </row>
    <row r="17" spans="1:5" ht="25.5">
      <c r="A17" s="4" t="s">
        <v>587</v>
      </c>
      <c r="B17" s="196" t="s">
        <v>319</v>
      </c>
      <c r="C17" s="195"/>
      <c r="D17" s="197">
        <f>D18</f>
        <v>23635205</v>
      </c>
      <c r="E17" s="189"/>
    </row>
    <row r="18" spans="1:5" ht="38.25">
      <c r="A18" s="8" t="s">
        <v>641</v>
      </c>
      <c r="B18" s="196" t="s">
        <v>320</v>
      </c>
      <c r="C18" s="195"/>
      <c r="D18" s="197">
        <f>D19+D21+D23</f>
        <v>23635205</v>
      </c>
      <c r="E18" s="189"/>
    </row>
    <row r="19" spans="1:5" ht="25.5">
      <c r="A19" s="198" t="s">
        <v>733</v>
      </c>
      <c r="B19" s="196" t="s">
        <v>321</v>
      </c>
      <c r="C19" s="195"/>
      <c r="D19" s="197">
        <f>D20</f>
        <v>23511205</v>
      </c>
      <c r="E19" s="189"/>
    </row>
    <row r="20" spans="1:5" ht="25.5">
      <c r="A20" s="5" t="s">
        <v>90</v>
      </c>
      <c r="B20" s="196" t="s">
        <v>321</v>
      </c>
      <c r="C20" s="195">
        <v>600</v>
      </c>
      <c r="D20" s="194">
        <v>23511205</v>
      </c>
      <c r="E20" s="189"/>
    </row>
    <row r="21" spans="1:5" ht="24">
      <c r="A21" s="9" t="s">
        <v>291</v>
      </c>
      <c r="B21" s="196" t="s">
        <v>270</v>
      </c>
      <c r="C21" s="195"/>
      <c r="D21" s="197">
        <f>D22</f>
        <v>124000</v>
      </c>
      <c r="E21" s="189"/>
    </row>
    <row r="22" spans="1:5" ht="24">
      <c r="A22" s="9" t="s">
        <v>91</v>
      </c>
      <c r="B22" s="196" t="s">
        <v>270</v>
      </c>
      <c r="C22" s="195">
        <v>200</v>
      </c>
      <c r="D22" s="197">
        <v>124000</v>
      </c>
      <c r="E22" s="189"/>
    </row>
    <row r="23" spans="1:5" ht="38.25" hidden="1">
      <c r="A23" s="145" t="s">
        <v>810</v>
      </c>
      <c r="B23" s="144" t="s">
        <v>809</v>
      </c>
      <c r="C23" s="149"/>
      <c r="D23" s="224">
        <f>D24</f>
        <v>0</v>
      </c>
      <c r="E23" s="189"/>
    </row>
    <row r="24" spans="1:5" ht="25.5" hidden="1">
      <c r="A24" s="159" t="s">
        <v>90</v>
      </c>
      <c r="B24" s="144" t="s">
        <v>809</v>
      </c>
      <c r="C24" s="157">
        <v>600</v>
      </c>
      <c r="D24" s="224"/>
      <c r="E24" s="189"/>
    </row>
    <row r="25" spans="1:5" ht="25.5">
      <c r="A25" s="204" t="s">
        <v>162</v>
      </c>
      <c r="B25" s="257" t="s">
        <v>223</v>
      </c>
      <c r="C25" s="172" t="s">
        <v>87</v>
      </c>
      <c r="D25" s="171">
        <f>D26+D39+D58</f>
        <v>68406211</v>
      </c>
      <c r="E25" s="189"/>
    </row>
    <row r="26" spans="1:5" ht="38.25">
      <c r="A26" s="4" t="s">
        <v>380</v>
      </c>
      <c r="B26" s="199" t="s">
        <v>6</v>
      </c>
      <c r="C26" s="195" t="s">
        <v>87</v>
      </c>
      <c r="D26" s="197">
        <f>D27+D30</f>
        <v>3437700</v>
      </c>
      <c r="E26" s="189"/>
    </row>
    <row r="27" spans="1:5" ht="38.25" hidden="1">
      <c r="A27" s="10" t="s">
        <v>450</v>
      </c>
      <c r="B27" s="199" t="s">
        <v>132</v>
      </c>
      <c r="C27" s="195"/>
      <c r="D27" s="197">
        <f>D28</f>
        <v>0</v>
      </c>
      <c r="E27" s="189"/>
    </row>
    <row r="28" spans="1:5" ht="38.25" hidden="1">
      <c r="A28" s="198" t="s">
        <v>625</v>
      </c>
      <c r="B28" s="196" t="s">
        <v>451</v>
      </c>
      <c r="C28" s="195" t="s">
        <v>87</v>
      </c>
      <c r="D28" s="197">
        <f>D29</f>
        <v>0</v>
      </c>
      <c r="E28" s="189"/>
    </row>
    <row r="29" spans="1:5" ht="25.5" hidden="1">
      <c r="A29" s="5" t="s">
        <v>90</v>
      </c>
      <c r="B29" s="196" t="s">
        <v>451</v>
      </c>
      <c r="C29" s="195" t="s">
        <v>79</v>
      </c>
      <c r="D29" s="194"/>
      <c r="E29" s="189"/>
    </row>
    <row r="30" spans="1:5" ht="38.25">
      <c r="A30" s="11" t="s">
        <v>761</v>
      </c>
      <c r="B30" s="199" t="s">
        <v>762</v>
      </c>
      <c r="C30" s="195"/>
      <c r="D30" s="197">
        <f>D31+D35</f>
        <v>3437700</v>
      </c>
      <c r="E30" s="189"/>
    </row>
    <row r="31" spans="1:5" ht="25.5">
      <c r="A31" s="198" t="s">
        <v>390</v>
      </c>
      <c r="B31" s="199" t="s">
        <v>763</v>
      </c>
      <c r="C31" s="195" t="s">
        <v>87</v>
      </c>
      <c r="D31" s="197">
        <f>SUM(D32:D34)</f>
        <v>2342900</v>
      </c>
      <c r="E31" s="189"/>
    </row>
    <row r="32" spans="1:5" ht="51">
      <c r="A32" s="5" t="s">
        <v>735</v>
      </c>
      <c r="B32" s="199" t="s">
        <v>763</v>
      </c>
      <c r="C32" s="195">
        <v>100</v>
      </c>
      <c r="D32" s="194">
        <v>2232400</v>
      </c>
      <c r="E32" s="189"/>
    </row>
    <row r="33" spans="1:5" ht="25.5">
      <c r="A33" s="5" t="s">
        <v>228</v>
      </c>
      <c r="B33" s="199" t="s">
        <v>763</v>
      </c>
      <c r="C33" s="195">
        <v>200</v>
      </c>
      <c r="D33" s="194">
        <v>110500</v>
      </c>
      <c r="E33" s="189"/>
    </row>
    <row r="34" spans="1:5" ht="12.75" hidden="1">
      <c r="A34" s="5" t="s">
        <v>77</v>
      </c>
      <c r="B34" s="199" t="s">
        <v>763</v>
      </c>
      <c r="C34" s="195">
        <v>800</v>
      </c>
      <c r="D34" s="194">
        <v>0</v>
      </c>
      <c r="E34" s="189"/>
    </row>
    <row r="35" spans="1:5" ht="51">
      <c r="A35" s="159" t="s">
        <v>710</v>
      </c>
      <c r="B35" s="199" t="s">
        <v>333</v>
      </c>
      <c r="C35" s="195"/>
      <c r="D35" s="194">
        <f>D36+D37+D38</f>
        <v>1094800</v>
      </c>
      <c r="E35" s="189"/>
    </row>
    <row r="36" spans="1:5" ht="51">
      <c r="A36" s="5" t="s">
        <v>735</v>
      </c>
      <c r="B36" s="199" t="s">
        <v>333</v>
      </c>
      <c r="C36" s="195">
        <v>100</v>
      </c>
      <c r="D36" s="194">
        <v>834784.98</v>
      </c>
      <c r="E36" s="189"/>
    </row>
    <row r="37" spans="1:5" ht="25.5">
      <c r="A37" s="5" t="s">
        <v>228</v>
      </c>
      <c r="B37" s="199" t="s">
        <v>333</v>
      </c>
      <c r="C37" s="195">
        <v>200</v>
      </c>
      <c r="D37" s="194">
        <v>260015.02</v>
      </c>
      <c r="E37" s="189"/>
    </row>
    <row r="38" spans="1:5" ht="12.75" hidden="1">
      <c r="A38" s="5" t="s">
        <v>77</v>
      </c>
      <c r="B38" s="199" t="s">
        <v>333</v>
      </c>
      <c r="C38" s="195">
        <v>800</v>
      </c>
      <c r="D38" s="194">
        <v>0</v>
      </c>
      <c r="E38" s="189"/>
    </row>
    <row r="39" spans="1:5" ht="38.25">
      <c r="A39" s="4" t="s">
        <v>163</v>
      </c>
      <c r="B39" s="199" t="s">
        <v>117</v>
      </c>
      <c r="C39" s="195" t="s">
        <v>87</v>
      </c>
      <c r="D39" s="197">
        <f>D40+D47+D54+D51</f>
        <v>8464477</v>
      </c>
      <c r="E39" s="189"/>
    </row>
    <row r="40" spans="1:5" ht="25.5">
      <c r="A40" s="8" t="s">
        <v>642</v>
      </c>
      <c r="B40" s="199" t="s">
        <v>126</v>
      </c>
      <c r="C40" s="195"/>
      <c r="D40" s="197">
        <f>D41+D44</f>
        <v>7217643</v>
      </c>
      <c r="E40" s="189"/>
    </row>
    <row r="41" spans="1:5" ht="12.75">
      <c r="A41" s="198" t="s">
        <v>589</v>
      </c>
      <c r="B41" s="196" t="s">
        <v>643</v>
      </c>
      <c r="C41" s="195" t="s">
        <v>87</v>
      </c>
      <c r="D41" s="197">
        <f>SUM(D42:D43)</f>
        <v>6840366</v>
      </c>
      <c r="E41" s="189"/>
    </row>
    <row r="42" spans="1:5" ht="25.5">
      <c r="A42" s="5" t="s">
        <v>228</v>
      </c>
      <c r="B42" s="196" t="s">
        <v>643</v>
      </c>
      <c r="C42" s="195">
        <v>200</v>
      </c>
      <c r="D42" s="194">
        <v>71000</v>
      </c>
      <c r="E42" s="189"/>
    </row>
    <row r="43" spans="1:5" ht="12.75">
      <c r="A43" s="5" t="s">
        <v>81</v>
      </c>
      <c r="B43" s="196" t="s">
        <v>643</v>
      </c>
      <c r="C43" s="195">
        <v>300</v>
      </c>
      <c r="D43" s="194">
        <v>6769366</v>
      </c>
      <c r="E43" s="189"/>
    </row>
    <row r="44" spans="1:5" ht="12.75">
      <c r="A44" s="198" t="s">
        <v>590</v>
      </c>
      <c r="B44" s="196" t="s">
        <v>644</v>
      </c>
      <c r="C44" s="195" t="s">
        <v>87</v>
      </c>
      <c r="D44" s="197">
        <f>SUM(D45:D46)</f>
        <v>377277</v>
      </c>
      <c r="E44" s="189"/>
    </row>
    <row r="45" spans="1:5" ht="25.5">
      <c r="A45" s="5" t="s">
        <v>228</v>
      </c>
      <c r="B45" s="196" t="s">
        <v>644</v>
      </c>
      <c r="C45" s="195">
        <v>200</v>
      </c>
      <c r="D45" s="194">
        <v>9500</v>
      </c>
      <c r="E45" s="189"/>
    </row>
    <row r="46" spans="1:5" ht="12.75">
      <c r="A46" s="5" t="s">
        <v>81</v>
      </c>
      <c r="B46" s="196" t="s">
        <v>644</v>
      </c>
      <c r="C46" s="195" t="s">
        <v>80</v>
      </c>
      <c r="D46" s="194">
        <v>367777</v>
      </c>
      <c r="E46" s="189"/>
    </row>
    <row r="47" spans="1:6" ht="25.5">
      <c r="A47" s="7" t="s">
        <v>123</v>
      </c>
      <c r="B47" s="199" t="s">
        <v>127</v>
      </c>
      <c r="C47" s="213"/>
      <c r="D47" s="197">
        <f>D48</f>
        <v>134715</v>
      </c>
      <c r="E47" s="189"/>
      <c r="F47" s="255"/>
    </row>
    <row r="48" spans="1:6" ht="29.25" customHeight="1">
      <c r="A48" s="198" t="s">
        <v>262</v>
      </c>
      <c r="B48" s="196" t="s">
        <v>128</v>
      </c>
      <c r="C48" s="195" t="s">
        <v>87</v>
      </c>
      <c r="D48" s="197">
        <f>SUM(D49:D50)</f>
        <v>134715</v>
      </c>
      <c r="E48" s="189"/>
      <c r="F48" s="255"/>
    </row>
    <row r="49" spans="1:6" ht="25.5">
      <c r="A49" s="5" t="s">
        <v>228</v>
      </c>
      <c r="B49" s="196" t="s">
        <v>128</v>
      </c>
      <c r="C49" s="195">
        <v>200</v>
      </c>
      <c r="D49" s="197">
        <v>1900</v>
      </c>
      <c r="E49" s="189"/>
      <c r="F49" s="140"/>
    </row>
    <row r="50" spans="1:6" ht="12.75">
      <c r="A50" s="5" t="s">
        <v>81</v>
      </c>
      <c r="B50" s="196" t="s">
        <v>128</v>
      </c>
      <c r="C50" s="195" t="s">
        <v>80</v>
      </c>
      <c r="D50" s="194">
        <v>132815</v>
      </c>
      <c r="E50" s="189"/>
      <c r="F50" s="140"/>
    </row>
    <row r="51" spans="1:6" ht="25.5">
      <c r="A51" s="335" t="s">
        <v>966</v>
      </c>
      <c r="B51" s="148" t="s">
        <v>967</v>
      </c>
      <c r="C51" s="147"/>
      <c r="D51" s="146">
        <f>D52</f>
        <v>826190</v>
      </c>
      <c r="E51" s="189"/>
      <c r="F51" s="140"/>
    </row>
    <row r="52" spans="1:6" ht="25.5">
      <c r="A52" s="149" t="s">
        <v>968</v>
      </c>
      <c r="B52" s="148" t="s">
        <v>969</v>
      </c>
      <c r="C52" s="147"/>
      <c r="D52" s="146">
        <f>D53</f>
        <v>826190</v>
      </c>
      <c r="E52" s="189"/>
      <c r="F52" s="140"/>
    </row>
    <row r="53" spans="1:6" ht="12.75">
      <c r="A53" s="149" t="s">
        <v>81</v>
      </c>
      <c r="B53" s="148" t="s">
        <v>969</v>
      </c>
      <c r="C53" s="147" t="s">
        <v>80</v>
      </c>
      <c r="D53" s="194">
        <v>826190</v>
      </c>
      <c r="E53" s="189"/>
      <c r="F53" s="140"/>
    </row>
    <row r="54" spans="1:6" ht="38.25">
      <c r="A54" s="10" t="s">
        <v>645</v>
      </c>
      <c r="B54" s="199" t="s">
        <v>129</v>
      </c>
      <c r="C54" s="213"/>
      <c r="D54" s="197">
        <f>D55</f>
        <v>285929</v>
      </c>
      <c r="E54" s="189"/>
      <c r="F54" s="140"/>
    </row>
    <row r="55" spans="1:6" ht="25.5">
      <c r="A55" s="198" t="s">
        <v>492</v>
      </c>
      <c r="B55" s="196" t="s">
        <v>130</v>
      </c>
      <c r="C55" s="195" t="s">
        <v>87</v>
      </c>
      <c r="D55" s="197">
        <f>SUM(D56:D57)</f>
        <v>285929</v>
      </c>
      <c r="E55" s="189"/>
      <c r="F55" s="140"/>
    </row>
    <row r="56" spans="1:6" ht="25.5">
      <c r="A56" s="5" t="s">
        <v>228</v>
      </c>
      <c r="B56" s="196" t="s">
        <v>130</v>
      </c>
      <c r="C56" s="195">
        <v>200</v>
      </c>
      <c r="D56" s="194">
        <v>2000</v>
      </c>
      <c r="E56" s="189"/>
      <c r="F56" s="140"/>
    </row>
    <row r="57" spans="1:6" ht="12.75">
      <c r="A57" s="5" t="s">
        <v>81</v>
      </c>
      <c r="B57" s="196" t="s">
        <v>130</v>
      </c>
      <c r="C57" s="195">
        <v>300</v>
      </c>
      <c r="D57" s="194">
        <v>283929</v>
      </c>
      <c r="E57" s="189"/>
      <c r="F57" s="140"/>
    </row>
    <row r="58" spans="1:6" ht="51">
      <c r="A58" s="4" t="s">
        <v>172</v>
      </c>
      <c r="B58" s="213" t="s">
        <v>7</v>
      </c>
      <c r="C58" s="213"/>
      <c r="D58" s="197">
        <f>D59+D66+D69+D74</f>
        <v>56504034</v>
      </c>
      <c r="E58" s="189"/>
      <c r="F58" s="140"/>
    </row>
    <row r="59" spans="1:6" ht="38.25">
      <c r="A59" s="8" t="s">
        <v>757</v>
      </c>
      <c r="B59" s="213" t="s">
        <v>124</v>
      </c>
      <c r="C59" s="195"/>
      <c r="D59" s="197">
        <f>D60+D62+D64</f>
        <v>43630977</v>
      </c>
      <c r="E59" s="189"/>
      <c r="F59" s="140"/>
    </row>
    <row r="60" spans="1:6" ht="12.75">
      <c r="A60" s="7" t="s">
        <v>555</v>
      </c>
      <c r="B60" s="196" t="s">
        <v>758</v>
      </c>
      <c r="C60" s="195"/>
      <c r="D60" s="197">
        <f>D61</f>
        <v>1839382</v>
      </c>
      <c r="E60" s="189"/>
      <c r="F60" s="140"/>
    </row>
    <row r="61" spans="1:6" ht="12.75">
      <c r="A61" s="5" t="s">
        <v>81</v>
      </c>
      <c r="B61" s="196" t="s">
        <v>758</v>
      </c>
      <c r="C61" s="195">
        <v>300</v>
      </c>
      <c r="D61" s="194">
        <v>1839382</v>
      </c>
      <c r="E61" s="189"/>
      <c r="F61" s="140"/>
    </row>
    <row r="62" spans="1:6" ht="25.5">
      <c r="A62" s="461" t="s">
        <v>510</v>
      </c>
      <c r="B62" s="196" t="s">
        <v>511</v>
      </c>
      <c r="C62" s="195"/>
      <c r="D62" s="194">
        <f>D63</f>
        <v>41186977</v>
      </c>
      <c r="E62" s="189"/>
      <c r="F62" s="140"/>
    </row>
    <row r="63" spans="1:6" ht="12.75">
      <c r="A63" s="5" t="s">
        <v>81</v>
      </c>
      <c r="B63" s="196" t="s">
        <v>511</v>
      </c>
      <c r="C63" s="195">
        <v>300</v>
      </c>
      <c r="D63" s="194">
        <v>41186977</v>
      </c>
      <c r="E63" s="189"/>
      <c r="F63" s="140"/>
    </row>
    <row r="64" spans="1:6" ht="25.5">
      <c r="A64" s="461" t="s">
        <v>512</v>
      </c>
      <c r="B64" s="196" t="s">
        <v>513</v>
      </c>
      <c r="C64" s="195"/>
      <c r="D64" s="194">
        <f>D65</f>
        <v>604618</v>
      </c>
      <c r="E64" s="189"/>
      <c r="F64" s="140"/>
    </row>
    <row r="65" spans="1:6" ht="25.5">
      <c r="A65" s="5" t="s">
        <v>228</v>
      </c>
      <c r="B65" s="196" t="s">
        <v>513</v>
      </c>
      <c r="C65" s="195">
        <v>200</v>
      </c>
      <c r="D65" s="194">
        <v>604618</v>
      </c>
      <c r="E65" s="189"/>
      <c r="F65" s="140"/>
    </row>
    <row r="66" spans="1:6" ht="38.25">
      <c r="A66" s="8" t="s">
        <v>125</v>
      </c>
      <c r="B66" s="199" t="s">
        <v>759</v>
      </c>
      <c r="C66" s="195"/>
      <c r="D66" s="197">
        <f>D67</f>
        <v>6071609</v>
      </c>
      <c r="E66" s="189"/>
      <c r="F66" s="140"/>
    </row>
    <row r="67" spans="1:6" ht="25.5">
      <c r="A67" s="198" t="s">
        <v>591</v>
      </c>
      <c r="B67" s="196" t="s">
        <v>760</v>
      </c>
      <c r="C67" s="195" t="s">
        <v>87</v>
      </c>
      <c r="D67" s="197">
        <f>SUM(D68:D68)</f>
        <v>6071609</v>
      </c>
      <c r="E67" s="189"/>
      <c r="F67" s="140"/>
    </row>
    <row r="68" spans="1:6" ht="12.75">
      <c r="A68" s="5" t="s">
        <v>81</v>
      </c>
      <c r="B68" s="196" t="s">
        <v>760</v>
      </c>
      <c r="C68" s="195">
        <v>300</v>
      </c>
      <c r="D68" s="194">
        <v>6071609</v>
      </c>
      <c r="E68" s="189"/>
      <c r="F68" s="140"/>
    </row>
    <row r="69" spans="1:6" ht="38.25">
      <c r="A69" s="5" t="s">
        <v>588</v>
      </c>
      <c r="B69" s="213" t="s">
        <v>595</v>
      </c>
      <c r="C69" s="195"/>
      <c r="D69" s="197">
        <f>D70</f>
        <v>1004100</v>
      </c>
      <c r="E69" s="189"/>
      <c r="F69" s="253"/>
    </row>
    <row r="70" spans="1:6" ht="38.25">
      <c r="A70" s="198" t="s">
        <v>282</v>
      </c>
      <c r="B70" s="196" t="s">
        <v>452</v>
      </c>
      <c r="C70" s="195"/>
      <c r="D70" s="197">
        <f>SUM(D71:D73)</f>
        <v>1004100</v>
      </c>
      <c r="E70" s="189"/>
      <c r="F70" s="253"/>
    </row>
    <row r="71" spans="1:6" ht="51">
      <c r="A71" s="5" t="s">
        <v>735</v>
      </c>
      <c r="B71" s="196" t="s">
        <v>452</v>
      </c>
      <c r="C71" s="195">
        <v>100</v>
      </c>
      <c r="D71" s="194">
        <v>941141.1</v>
      </c>
      <c r="E71" s="189"/>
      <c r="F71" s="253"/>
    </row>
    <row r="72" spans="1:6" ht="25.5">
      <c r="A72" s="5" t="s">
        <v>228</v>
      </c>
      <c r="B72" s="196" t="s">
        <v>452</v>
      </c>
      <c r="C72" s="195" t="s">
        <v>74</v>
      </c>
      <c r="D72" s="194">
        <v>62558.9</v>
      </c>
      <c r="E72" s="189"/>
      <c r="F72" s="253"/>
    </row>
    <row r="73" spans="1:6" ht="12.75">
      <c r="A73" s="5" t="s">
        <v>77</v>
      </c>
      <c r="B73" s="192" t="s">
        <v>452</v>
      </c>
      <c r="C73" s="191">
        <v>800</v>
      </c>
      <c r="D73" s="190">
        <v>400</v>
      </c>
      <c r="E73" s="189"/>
      <c r="F73" s="140"/>
    </row>
    <row r="74" spans="1:6" ht="25.5">
      <c r="A74" s="390" t="s">
        <v>933</v>
      </c>
      <c r="B74" s="148" t="s">
        <v>916</v>
      </c>
      <c r="C74" s="147"/>
      <c r="D74" s="158">
        <f>D75</f>
        <v>5797348</v>
      </c>
      <c r="E74" s="189"/>
      <c r="F74" s="140"/>
    </row>
    <row r="75" spans="1:6" ht="38.25">
      <c r="A75" s="390" t="s">
        <v>909</v>
      </c>
      <c r="B75" s="148" t="s">
        <v>917</v>
      </c>
      <c r="C75" s="147"/>
      <c r="D75" s="158">
        <f>D77+D76</f>
        <v>5797348</v>
      </c>
      <c r="E75" s="189"/>
      <c r="F75" s="140"/>
    </row>
    <row r="76" spans="1:6" ht="25.5">
      <c r="A76" s="5" t="s">
        <v>228</v>
      </c>
      <c r="B76" s="148" t="s">
        <v>917</v>
      </c>
      <c r="C76" s="147">
        <v>200</v>
      </c>
      <c r="D76" s="158">
        <v>95157</v>
      </c>
      <c r="E76" s="189"/>
      <c r="F76" s="140"/>
    </row>
    <row r="77" spans="1:6" ht="25.5">
      <c r="A77" s="390" t="s">
        <v>221</v>
      </c>
      <c r="B77" s="148" t="s">
        <v>917</v>
      </c>
      <c r="C77" s="147">
        <v>400</v>
      </c>
      <c r="D77" s="158">
        <v>5702191</v>
      </c>
      <c r="E77" s="189"/>
      <c r="F77" s="140"/>
    </row>
    <row r="78" spans="1:6" ht="29.25" customHeight="1">
      <c r="A78" s="204" t="s">
        <v>277</v>
      </c>
      <c r="B78" s="257" t="s">
        <v>557</v>
      </c>
      <c r="C78" s="172" t="s">
        <v>87</v>
      </c>
      <c r="D78" s="171">
        <f>D79+D93+D143+D153</f>
        <v>439183297.11</v>
      </c>
      <c r="E78" s="189"/>
      <c r="F78" s="140"/>
    </row>
    <row r="79" spans="1:6" ht="38.25">
      <c r="A79" s="4" t="s">
        <v>241</v>
      </c>
      <c r="B79" s="196" t="s">
        <v>309</v>
      </c>
      <c r="C79" s="195" t="s">
        <v>87</v>
      </c>
      <c r="D79" s="197">
        <f>D80+D83+D88</f>
        <v>11461791</v>
      </c>
      <c r="E79" s="189"/>
      <c r="F79" s="140"/>
    </row>
    <row r="80" spans="1:6" ht="51">
      <c r="A80" s="7" t="s">
        <v>461</v>
      </c>
      <c r="B80" s="196" t="s">
        <v>310</v>
      </c>
      <c r="C80" s="195"/>
      <c r="D80" s="197">
        <f>D81</f>
        <v>236023</v>
      </c>
      <c r="E80" s="189"/>
      <c r="F80" s="140"/>
    </row>
    <row r="81" spans="1:6" ht="38.25">
      <c r="A81" s="5" t="s">
        <v>596</v>
      </c>
      <c r="B81" s="196" t="s">
        <v>311</v>
      </c>
      <c r="C81" s="195"/>
      <c r="D81" s="197">
        <f>D82</f>
        <v>236023</v>
      </c>
      <c r="E81" s="189"/>
      <c r="F81" s="140"/>
    </row>
    <row r="82" spans="1:6" ht="51">
      <c r="A82" s="5" t="s">
        <v>735</v>
      </c>
      <c r="B82" s="196" t="s">
        <v>311</v>
      </c>
      <c r="C82" s="195">
        <v>100</v>
      </c>
      <c r="D82" s="194">
        <v>236023</v>
      </c>
      <c r="E82" s="189"/>
      <c r="F82" s="140"/>
    </row>
    <row r="83" spans="1:6" ht="39" customHeight="1">
      <c r="A83" s="12" t="s">
        <v>326</v>
      </c>
      <c r="B83" s="196" t="s">
        <v>313</v>
      </c>
      <c r="C83" s="195"/>
      <c r="D83" s="197">
        <f>D84</f>
        <v>9669393</v>
      </c>
      <c r="E83" s="189"/>
      <c r="F83" s="140"/>
    </row>
    <row r="84" spans="1:6" ht="25.5">
      <c r="A84" s="198" t="s">
        <v>494</v>
      </c>
      <c r="B84" s="196" t="s">
        <v>314</v>
      </c>
      <c r="C84" s="195" t="s">
        <v>87</v>
      </c>
      <c r="D84" s="197">
        <f>SUM(D85:D87)</f>
        <v>9669393</v>
      </c>
      <c r="E84" s="189"/>
      <c r="F84" s="140"/>
    </row>
    <row r="85" spans="1:6" ht="51">
      <c r="A85" s="5" t="s">
        <v>735</v>
      </c>
      <c r="B85" s="196" t="s">
        <v>314</v>
      </c>
      <c r="C85" s="195" t="s">
        <v>592</v>
      </c>
      <c r="D85" s="194">
        <v>7792459</v>
      </c>
      <c r="E85" s="189"/>
      <c r="F85" s="140"/>
    </row>
    <row r="86" spans="1:6" ht="25.5">
      <c r="A86" s="5" t="s">
        <v>228</v>
      </c>
      <c r="B86" s="196" t="s">
        <v>314</v>
      </c>
      <c r="C86" s="195" t="s">
        <v>74</v>
      </c>
      <c r="D86" s="194">
        <v>1871644</v>
      </c>
      <c r="E86" s="189"/>
      <c r="F86" s="140"/>
    </row>
    <row r="87" spans="1:6" ht="12.75">
      <c r="A87" s="5" t="s">
        <v>77</v>
      </c>
      <c r="B87" s="196" t="s">
        <v>314</v>
      </c>
      <c r="C87" s="195">
        <v>800</v>
      </c>
      <c r="D87" s="194">
        <v>5290</v>
      </c>
      <c r="E87" s="189"/>
      <c r="F87" s="140"/>
    </row>
    <row r="88" spans="1:6" ht="38.25">
      <c r="A88" s="198" t="s">
        <v>637</v>
      </c>
      <c r="B88" s="196" t="s">
        <v>639</v>
      </c>
      <c r="C88" s="195"/>
      <c r="D88" s="197">
        <f>D89</f>
        <v>1556375</v>
      </c>
      <c r="E88" s="189"/>
      <c r="F88" s="140"/>
    </row>
    <row r="89" spans="1:6" ht="25.5">
      <c r="A89" s="198" t="s">
        <v>731</v>
      </c>
      <c r="B89" s="196" t="s">
        <v>640</v>
      </c>
      <c r="C89" s="195"/>
      <c r="D89" s="197">
        <f>SUM(D90:D92)</f>
        <v>1556375</v>
      </c>
      <c r="E89" s="189"/>
      <c r="F89" s="140"/>
    </row>
    <row r="90" spans="1:6" ht="51">
      <c r="A90" s="5" t="s">
        <v>735</v>
      </c>
      <c r="B90" s="196" t="s">
        <v>640</v>
      </c>
      <c r="C90" s="195" t="s">
        <v>592</v>
      </c>
      <c r="D90" s="194">
        <v>1359675</v>
      </c>
      <c r="E90" s="189"/>
      <c r="F90" s="140"/>
    </row>
    <row r="91" spans="1:5" ht="25.5">
      <c r="A91" s="5" t="s">
        <v>228</v>
      </c>
      <c r="B91" s="196" t="s">
        <v>640</v>
      </c>
      <c r="C91" s="195" t="s">
        <v>74</v>
      </c>
      <c r="D91" s="194">
        <v>196700</v>
      </c>
      <c r="E91" s="189"/>
    </row>
    <row r="92" spans="1:5" ht="12.75">
      <c r="A92" s="5" t="s">
        <v>77</v>
      </c>
      <c r="B92" s="196" t="s">
        <v>640</v>
      </c>
      <c r="C92" s="195">
        <v>800</v>
      </c>
      <c r="D92" s="194"/>
      <c r="E92" s="189"/>
    </row>
    <row r="93" spans="1:5" ht="38.25">
      <c r="A93" s="4" t="s">
        <v>278</v>
      </c>
      <c r="B93" s="199" t="s">
        <v>558</v>
      </c>
      <c r="C93" s="195" t="s">
        <v>87</v>
      </c>
      <c r="D93" s="197">
        <f>D94+D104+D108+D115+D135+D128</f>
        <v>410444474.11</v>
      </c>
      <c r="E93" s="189"/>
    </row>
    <row r="94" spans="1:5" ht="25.5">
      <c r="A94" s="7" t="s">
        <v>456</v>
      </c>
      <c r="B94" s="196" t="s">
        <v>559</v>
      </c>
      <c r="C94" s="195"/>
      <c r="D94" s="197">
        <f>D95+D98+D102</f>
        <v>100789702.11</v>
      </c>
      <c r="E94" s="189"/>
    </row>
    <row r="95" spans="1:5" ht="76.5">
      <c r="A95" s="5" t="s">
        <v>298</v>
      </c>
      <c r="B95" s="196" t="s">
        <v>299</v>
      </c>
      <c r="C95" s="195" t="s">
        <v>87</v>
      </c>
      <c r="D95" s="197">
        <f>SUM(D96:D97)</f>
        <v>55488082</v>
      </c>
      <c r="E95" s="189"/>
    </row>
    <row r="96" spans="1:5" ht="51">
      <c r="A96" s="5" t="s">
        <v>735</v>
      </c>
      <c r="B96" s="196" t="s">
        <v>299</v>
      </c>
      <c r="C96" s="195" t="s">
        <v>592</v>
      </c>
      <c r="D96" s="194">
        <v>55063202</v>
      </c>
      <c r="E96" s="189"/>
    </row>
    <row r="97" spans="1:5" ht="25.5">
      <c r="A97" s="5" t="s">
        <v>228</v>
      </c>
      <c r="B97" s="196" t="s">
        <v>299</v>
      </c>
      <c r="C97" s="195" t="s">
        <v>74</v>
      </c>
      <c r="D97" s="194">
        <v>424880</v>
      </c>
      <c r="E97" s="189"/>
    </row>
    <row r="98" spans="1:5" ht="25.5">
      <c r="A98" s="198" t="s">
        <v>494</v>
      </c>
      <c r="B98" s="196" t="s">
        <v>300</v>
      </c>
      <c r="C98" s="195"/>
      <c r="D98" s="197">
        <f>SUM(D99:D101)</f>
        <v>45301620.11</v>
      </c>
      <c r="E98" s="189"/>
    </row>
    <row r="99" spans="1:5" ht="51">
      <c r="A99" s="5" t="s">
        <v>735</v>
      </c>
      <c r="B99" s="196" t="s">
        <v>300</v>
      </c>
      <c r="C99" s="195">
        <v>100</v>
      </c>
      <c r="D99" s="194">
        <v>18469977</v>
      </c>
      <c r="E99" s="189"/>
    </row>
    <row r="100" spans="1:5" ht="25.5">
      <c r="A100" s="5" t="s">
        <v>228</v>
      </c>
      <c r="B100" s="196" t="s">
        <v>300</v>
      </c>
      <c r="C100" s="195">
        <v>200</v>
      </c>
      <c r="D100" s="194">
        <v>24551812.11</v>
      </c>
      <c r="E100" s="189"/>
    </row>
    <row r="101" spans="1:5" ht="12.75">
      <c r="A101" s="5" t="s">
        <v>77</v>
      </c>
      <c r="B101" s="196" t="s">
        <v>300</v>
      </c>
      <c r="C101" s="195">
        <v>800</v>
      </c>
      <c r="D101" s="194">
        <v>2279831</v>
      </c>
      <c r="E101" s="189"/>
    </row>
    <row r="102" spans="1:5" ht="38.25" hidden="1">
      <c r="A102" s="5" t="s">
        <v>154</v>
      </c>
      <c r="B102" s="196" t="s">
        <v>150</v>
      </c>
      <c r="C102" s="195"/>
      <c r="D102" s="194">
        <f>D103</f>
        <v>0</v>
      </c>
      <c r="E102" s="189"/>
    </row>
    <row r="103" spans="1:5" ht="25.5" hidden="1">
      <c r="A103" s="5" t="s">
        <v>228</v>
      </c>
      <c r="B103" s="196" t="s">
        <v>150</v>
      </c>
      <c r="C103" s="195">
        <v>200</v>
      </c>
      <c r="D103" s="194"/>
      <c r="E103" s="189"/>
    </row>
    <row r="104" spans="1:5" ht="25.5">
      <c r="A104" s="7" t="s">
        <v>249</v>
      </c>
      <c r="B104" s="196" t="s">
        <v>131</v>
      </c>
      <c r="C104" s="195"/>
      <c r="D104" s="197">
        <f>D105</f>
        <v>5116098</v>
      </c>
      <c r="E104" s="189"/>
    </row>
    <row r="105" spans="1:5" ht="12.75">
      <c r="A105" s="5" t="s">
        <v>323</v>
      </c>
      <c r="B105" s="196" t="s">
        <v>243</v>
      </c>
      <c r="C105" s="195"/>
      <c r="D105" s="197">
        <f>SUM(D106:D107)</f>
        <v>5116098</v>
      </c>
      <c r="E105" s="189"/>
    </row>
    <row r="106" spans="1:5" ht="25.5">
      <c r="A106" s="5" t="s">
        <v>228</v>
      </c>
      <c r="B106" s="196" t="s">
        <v>243</v>
      </c>
      <c r="C106" s="195">
        <v>200</v>
      </c>
      <c r="D106" s="194">
        <v>20382</v>
      </c>
      <c r="E106" s="189"/>
    </row>
    <row r="107" spans="1:6" ht="12.75">
      <c r="A107" s="5" t="s">
        <v>81</v>
      </c>
      <c r="B107" s="196" t="s">
        <v>243</v>
      </c>
      <c r="C107" s="195">
        <v>300</v>
      </c>
      <c r="D107" s="194">
        <v>5095716</v>
      </c>
      <c r="E107" s="189"/>
      <c r="F107" s="255"/>
    </row>
    <row r="108" spans="1:5" ht="25.5">
      <c r="A108" s="7" t="s">
        <v>458</v>
      </c>
      <c r="B108" s="196" t="s">
        <v>301</v>
      </c>
      <c r="C108" s="195"/>
      <c r="D108" s="197">
        <f>D109+D111+D113</f>
        <v>124754386</v>
      </c>
      <c r="E108" s="189"/>
    </row>
    <row r="109" spans="1:5" ht="78" customHeight="1">
      <c r="A109" s="5" t="s">
        <v>681</v>
      </c>
      <c r="B109" s="196" t="s">
        <v>302</v>
      </c>
      <c r="C109" s="195" t="s">
        <v>87</v>
      </c>
      <c r="D109" s="197">
        <f>D110</f>
        <v>96274514</v>
      </c>
      <c r="E109" s="189"/>
    </row>
    <row r="110" spans="1:5" ht="25.5">
      <c r="A110" s="5" t="s">
        <v>90</v>
      </c>
      <c r="B110" s="196" t="s">
        <v>302</v>
      </c>
      <c r="C110" s="195">
        <v>600</v>
      </c>
      <c r="D110" s="194">
        <v>96274514</v>
      </c>
      <c r="E110" s="189"/>
    </row>
    <row r="111" spans="1:5" ht="25.5">
      <c r="A111" s="198" t="s">
        <v>494</v>
      </c>
      <c r="B111" s="196" t="s">
        <v>303</v>
      </c>
      <c r="C111" s="195"/>
      <c r="D111" s="197">
        <f>D112</f>
        <v>22006560</v>
      </c>
      <c r="E111" s="189"/>
    </row>
    <row r="112" spans="1:5" ht="25.5">
      <c r="A112" s="5" t="s">
        <v>90</v>
      </c>
      <c r="B112" s="196" t="s">
        <v>303</v>
      </c>
      <c r="C112" s="195">
        <v>600</v>
      </c>
      <c r="D112" s="194">
        <v>22006560</v>
      </c>
      <c r="E112" s="189"/>
    </row>
    <row r="113" spans="1:5" ht="38.25">
      <c r="A113" s="5" t="s">
        <v>509</v>
      </c>
      <c r="B113" s="463" t="s">
        <v>957</v>
      </c>
      <c r="C113" s="195"/>
      <c r="D113" s="194">
        <f>D114</f>
        <v>6473312</v>
      </c>
      <c r="E113" s="189"/>
    </row>
    <row r="114" spans="1:5" ht="25.5">
      <c r="A114" s="5" t="s">
        <v>90</v>
      </c>
      <c r="B114" s="463" t="s">
        <v>957</v>
      </c>
      <c r="C114" s="195">
        <v>600</v>
      </c>
      <c r="D114" s="158">
        <v>6473312</v>
      </c>
      <c r="E114" s="189"/>
    </row>
    <row r="115" spans="1:5" ht="25.5">
      <c r="A115" s="7" t="s">
        <v>459</v>
      </c>
      <c r="B115" s="199" t="s">
        <v>304</v>
      </c>
      <c r="C115" s="195"/>
      <c r="D115" s="197">
        <f>D117+D119+D123+D125+D127+D121+D139+D142</f>
        <v>20711818</v>
      </c>
      <c r="E115" s="189"/>
    </row>
    <row r="116" spans="1:5" ht="38.25">
      <c r="A116" s="449" t="s">
        <v>396</v>
      </c>
      <c r="B116" s="196" t="s">
        <v>397</v>
      </c>
      <c r="C116" s="195"/>
      <c r="D116" s="197">
        <f>D117</f>
        <v>6304413</v>
      </c>
      <c r="E116" s="189"/>
    </row>
    <row r="117" spans="1:5" ht="25.5">
      <c r="A117" s="5" t="s">
        <v>90</v>
      </c>
      <c r="B117" s="196" t="s">
        <v>397</v>
      </c>
      <c r="C117" s="195">
        <v>600</v>
      </c>
      <c r="D117" s="197">
        <v>6304413</v>
      </c>
      <c r="E117" s="189"/>
    </row>
    <row r="118" spans="1:5" ht="51">
      <c r="A118" s="441" t="s">
        <v>746</v>
      </c>
      <c r="B118" s="463" t="s">
        <v>747</v>
      </c>
      <c r="C118" s="195"/>
      <c r="D118" s="197">
        <f>D119</f>
        <v>318065</v>
      </c>
      <c r="E118" s="189"/>
    </row>
    <row r="119" spans="1:5" ht="25.5">
      <c r="A119" s="443" t="s">
        <v>90</v>
      </c>
      <c r="B119" s="463" t="s">
        <v>747</v>
      </c>
      <c r="C119" s="195">
        <v>600</v>
      </c>
      <c r="D119" s="197">
        <v>318065</v>
      </c>
      <c r="E119" s="189"/>
    </row>
    <row r="120" spans="1:5" ht="25.5" hidden="1">
      <c r="A120" s="49" t="s">
        <v>719</v>
      </c>
      <c r="B120" s="148" t="s">
        <v>720</v>
      </c>
      <c r="C120" s="147"/>
      <c r="D120" s="197">
        <f>D121</f>
        <v>0</v>
      </c>
      <c r="E120" s="189"/>
    </row>
    <row r="121" spans="1:5" ht="25.5" hidden="1">
      <c r="A121" s="159" t="s">
        <v>90</v>
      </c>
      <c r="B121" s="148" t="s">
        <v>720</v>
      </c>
      <c r="C121" s="147">
        <v>600</v>
      </c>
      <c r="D121" s="197"/>
      <c r="E121" s="189"/>
    </row>
    <row r="122" spans="1:5" ht="51">
      <c r="A122" s="454" t="s">
        <v>295</v>
      </c>
      <c r="B122" s="463" t="s">
        <v>305</v>
      </c>
      <c r="C122" s="464"/>
      <c r="D122" s="197">
        <f>D123</f>
        <v>2127215</v>
      </c>
      <c r="E122" s="189"/>
    </row>
    <row r="123" spans="1:5" ht="25.5">
      <c r="A123" s="443" t="s">
        <v>90</v>
      </c>
      <c r="B123" s="463" t="s">
        <v>305</v>
      </c>
      <c r="C123" s="464">
        <v>600</v>
      </c>
      <c r="D123" s="194">
        <v>2127215</v>
      </c>
      <c r="E123" s="189"/>
    </row>
    <row r="124" spans="1:5" ht="25.5">
      <c r="A124" s="198" t="s">
        <v>494</v>
      </c>
      <c r="B124" s="196" t="s">
        <v>395</v>
      </c>
      <c r="C124" s="195"/>
      <c r="D124" s="197">
        <f>D125</f>
        <v>4636171</v>
      </c>
      <c r="E124" s="189"/>
    </row>
    <row r="125" spans="1:5" ht="25.5">
      <c r="A125" s="443" t="s">
        <v>90</v>
      </c>
      <c r="B125" s="196" t="s">
        <v>395</v>
      </c>
      <c r="C125" s="195">
        <v>600</v>
      </c>
      <c r="D125" s="194">
        <v>4636171</v>
      </c>
      <c r="E125" s="189"/>
    </row>
    <row r="126" spans="1:5" ht="12.75">
      <c r="A126" s="438" t="s">
        <v>274</v>
      </c>
      <c r="B126" s="196" t="s">
        <v>273</v>
      </c>
      <c r="C126" s="195"/>
      <c r="D126" s="194">
        <f>D127</f>
        <v>29000</v>
      </c>
      <c r="E126" s="189"/>
    </row>
    <row r="127" spans="1:5" ht="12.75">
      <c r="A127" s="5" t="s">
        <v>81</v>
      </c>
      <c r="B127" s="196" t="s">
        <v>273</v>
      </c>
      <c r="C127" s="195">
        <v>300</v>
      </c>
      <c r="D127" s="194">
        <f>24000+5000</f>
        <v>29000</v>
      </c>
      <c r="E127" s="189"/>
    </row>
    <row r="128" spans="1:5" ht="76.5">
      <c r="A128" s="7" t="s">
        <v>958</v>
      </c>
      <c r="B128" s="148" t="s">
        <v>959</v>
      </c>
      <c r="C128" s="147"/>
      <c r="D128" s="158">
        <f>D129+D133+D131</f>
        <v>159072470</v>
      </c>
      <c r="E128" s="189"/>
    </row>
    <row r="129" spans="1:5" ht="51">
      <c r="A129" s="390" t="s">
        <v>1012</v>
      </c>
      <c r="B129" s="148" t="s">
        <v>1014</v>
      </c>
      <c r="C129" s="147"/>
      <c r="D129" s="158">
        <f>D130</f>
        <v>153886322</v>
      </c>
      <c r="E129" s="189"/>
    </row>
    <row r="130" spans="1:5" ht="25.5">
      <c r="A130" s="159" t="s">
        <v>90</v>
      </c>
      <c r="B130" s="148" t="s">
        <v>1014</v>
      </c>
      <c r="C130" s="147" t="s">
        <v>79</v>
      </c>
      <c r="D130" s="158">
        <v>153886322</v>
      </c>
      <c r="E130" s="189"/>
    </row>
    <row r="131" spans="1:5" ht="25.5">
      <c r="A131" s="159" t="s">
        <v>989</v>
      </c>
      <c r="B131" s="148" t="s">
        <v>990</v>
      </c>
      <c r="C131" s="147"/>
      <c r="D131" s="158">
        <f>D132</f>
        <v>5082425</v>
      </c>
      <c r="E131" s="189"/>
    </row>
    <row r="132" spans="1:5" ht="25.5">
      <c r="A132" s="159" t="s">
        <v>90</v>
      </c>
      <c r="B132" s="148" t="s">
        <v>990</v>
      </c>
      <c r="C132" s="147">
        <v>600</v>
      </c>
      <c r="D132" s="158">
        <v>5082425</v>
      </c>
      <c r="E132" s="189"/>
    </row>
    <row r="133" spans="1:5" ht="25.5">
      <c r="A133" s="406" t="s">
        <v>960</v>
      </c>
      <c r="B133" s="148" t="s">
        <v>961</v>
      </c>
      <c r="C133" s="147"/>
      <c r="D133" s="158">
        <f>D134</f>
        <v>103723</v>
      </c>
      <c r="E133" s="189"/>
    </row>
    <row r="134" spans="1:5" ht="25.5">
      <c r="A134" s="159" t="s">
        <v>90</v>
      </c>
      <c r="B134" s="148" t="s">
        <v>961</v>
      </c>
      <c r="C134" s="147" t="s">
        <v>79</v>
      </c>
      <c r="D134" s="158">
        <v>103723</v>
      </c>
      <c r="E134" s="189"/>
    </row>
    <row r="135" spans="1:6" ht="25.5" hidden="1">
      <c r="A135" s="455" t="s">
        <v>494</v>
      </c>
      <c r="B135" s="148" t="s">
        <v>875</v>
      </c>
      <c r="C135" s="195"/>
      <c r="D135" s="194">
        <f>D136</f>
        <v>0</v>
      </c>
      <c r="E135" s="189"/>
      <c r="F135" s="140"/>
    </row>
    <row r="136" spans="1:6" ht="25.5" hidden="1">
      <c r="A136" s="456" t="s">
        <v>90</v>
      </c>
      <c r="B136" s="148" t="s">
        <v>875</v>
      </c>
      <c r="C136" s="195">
        <v>600</v>
      </c>
      <c r="D136" s="194"/>
      <c r="E136" s="189"/>
      <c r="F136" s="140"/>
    </row>
    <row r="137" spans="1:6" ht="12.75">
      <c r="A137" s="389" t="s">
        <v>750</v>
      </c>
      <c r="B137" s="165" t="s">
        <v>331</v>
      </c>
      <c r="C137" s="164"/>
      <c r="D137" s="194">
        <f>D138</f>
        <v>3423556</v>
      </c>
      <c r="E137" s="189"/>
      <c r="F137" s="140"/>
    </row>
    <row r="138" spans="1:6" ht="51">
      <c r="A138" s="389" t="s">
        <v>942</v>
      </c>
      <c r="B138" s="165" t="s">
        <v>332</v>
      </c>
      <c r="C138" s="164"/>
      <c r="D138" s="194">
        <f>D139</f>
        <v>3423556</v>
      </c>
      <c r="E138" s="189"/>
      <c r="F138" s="140"/>
    </row>
    <row r="139" spans="1:6" ht="25.5">
      <c r="A139" s="303" t="s">
        <v>90</v>
      </c>
      <c r="B139" s="165" t="s">
        <v>332</v>
      </c>
      <c r="C139" s="164">
        <v>600</v>
      </c>
      <c r="D139" s="194">
        <v>3423556</v>
      </c>
      <c r="E139" s="189"/>
      <c r="F139" s="140"/>
    </row>
    <row r="140" spans="1:6" ht="12.75">
      <c r="A140" s="389" t="s">
        <v>108</v>
      </c>
      <c r="B140" s="165" t="s">
        <v>62</v>
      </c>
      <c r="C140" s="164"/>
      <c r="D140" s="194">
        <f>D141</f>
        <v>3873398</v>
      </c>
      <c r="E140" s="189"/>
      <c r="F140" s="140"/>
    </row>
    <row r="141" spans="1:6" ht="38.25">
      <c r="A141" s="389" t="s">
        <v>153</v>
      </c>
      <c r="B141" s="165" t="s">
        <v>63</v>
      </c>
      <c r="C141" s="164"/>
      <c r="D141" s="194">
        <f>D142</f>
        <v>3873398</v>
      </c>
      <c r="E141" s="189"/>
      <c r="F141" s="140"/>
    </row>
    <row r="142" spans="1:6" ht="25.5">
      <c r="A142" s="303" t="s">
        <v>90</v>
      </c>
      <c r="B142" s="165" t="s">
        <v>63</v>
      </c>
      <c r="C142" s="164">
        <v>600</v>
      </c>
      <c r="D142" s="194">
        <v>3873398</v>
      </c>
      <c r="E142" s="189"/>
      <c r="F142" s="140"/>
    </row>
    <row r="143" spans="1:6" ht="38.25">
      <c r="A143" s="4" t="s">
        <v>5</v>
      </c>
      <c r="B143" s="199" t="s">
        <v>306</v>
      </c>
      <c r="C143" s="195" t="s">
        <v>87</v>
      </c>
      <c r="D143" s="197">
        <f>D144+D151+D147</f>
        <v>17277032</v>
      </c>
      <c r="E143" s="189"/>
      <c r="F143" s="140"/>
    </row>
    <row r="144" spans="1:6" ht="25.5">
      <c r="A144" s="7" t="s">
        <v>460</v>
      </c>
      <c r="B144" s="196" t="s">
        <v>307</v>
      </c>
      <c r="C144" s="195"/>
      <c r="D144" s="197">
        <f>D145</f>
        <v>13465532</v>
      </c>
      <c r="E144" s="189"/>
      <c r="F144" s="140"/>
    </row>
    <row r="145" spans="1:6" ht="25.5">
      <c r="A145" s="198" t="s">
        <v>494</v>
      </c>
      <c r="B145" s="196" t="s">
        <v>308</v>
      </c>
      <c r="C145" s="195" t="s">
        <v>87</v>
      </c>
      <c r="D145" s="197">
        <f>D146</f>
        <v>13465532</v>
      </c>
      <c r="E145" s="189"/>
      <c r="F145" s="140"/>
    </row>
    <row r="146" spans="1:6" ht="25.5">
      <c r="A146" s="443" t="s">
        <v>90</v>
      </c>
      <c r="B146" s="196" t="s">
        <v>308</v>
      </c>
      <c r="C146" s="195">
        <v>600</v>
      </c>
      <c r="D146" s="194">
        <v>13465532</v>
      </c>
      <c r="E146" s="189"/>
      <c r="F146" s="140"/>
    </row>
    <row r="147" spans="1:6" ht="38.25">
      <c r="A147" s="159" t="s">
        <v>962</v>
      </c>
      <c r="B147" s="148" t="s">
        <v>963</v>
      </c>
      <c r="C147" s="195"/>
      <c r="D147" s="194">
        <f>D148</f>
        <v>3811500</v>
      </c>
      <c r="E147" s="189"/>
      <c r="F147" s="140"/>
    </row>
    <row r="148" spans="1:6" ht="12.75">
      <c r="A148" s="159" t="s">
        <v>214</v>
      </c>
      <c r="B148" s="148" t="s">
        <v>964</v>
      </c>
      <c r="C148" s="195"/>
      <c r="D148" s="194">
        <f>D149</f>
        <v>3811500</v>
      </c>
      <c r="E148" s="189"/>
      <c r="F148" s="140"/>
    </row>
    <row r="149" spans="1:6" ht="25.5">
      <c r="A149" s="159" t="s">
        <v>90</v>
      </c>
      <c r="B149" s="148" t="s">
        <v>964</v>
      </c>
      <c r="C149" s="195">
        <v>600</v>
      </c>
      <c r="D149" s="194">
        <v>3811500</v>
      </c>
      <c r="E149" s="189"/>
      <c r="F149" s="140"/>
    </row>
    <row r="150" spans="1:6" ht="12.75" hidden="1">
      <c r="A150" s="448" t="s">
        <v>107</v>
      </c>
      <c r="B150" s="196" t="s">
        <v>703</v>
      </c>
      <c r="C150" s="464"/>
      <c r="D150" s="197">
        <f>D151</f>
        <v>0</v>
      </c>
      <c r="E150" s="189"/>
      <c r="F150" s="140"/>
    </row>
    <row r="151" spans="1:6" ht="38.25" hidden="1">
      <c r="A151" s="448" t="s">
        <v>766</v>
      </c>
      <c r="B151" s="196" t="s">
        <v>704</v>
      </c>
      <c r="C151" s="464"/>
      <c r="D151" s="197">
        <f>D152</f>
        <v>0</v>
      </c>
      <c r="E151" s="189"/>
      <c r="F151" s="140"/>
    </row>
    <row r="152" spans="1:6" ht="25.5" hidden="1">
      <c r="A152" s="159" t="s">
        <v>90</v>
      </c>
      <c r="B152" s="148" t="s">
        <v>704</v>
      </c>
      <c r="C152" s="147">
        <v>600</v>
      </c>
      <c r="D152" s="158"/>
      <c r="E152" s="189"/>
      <c r="F152" s="140"/>
    </row>
    <row r="153" spans="1:6" ht="63.75" hidden="1">
      <c r="A153" s="84" t="s">
        <v>465</v>
      </c>
      <c r="B153" s="160" t="s">
        <v>466</v>
      </c>
      <c r="C153" s="151"/>
      <c r="D153" s="146">
        <f>D154</f>
        <v>0</v>
      </c>
      <c r="E153" s="189"/>
      <c r="F153" s="140"/>
    </row>
    <row r="154" spans="1:6" ht="38.25" hidden="1">
      <c r="A154" s="159" t="s">
        <v>508</v>
      </c>
      <c r="B154" s="148" t="s">
        <v>467</v>
      </c>
      <c r="C154" s="147"/>
      <c r="D154" s="158">
        <f>D155</f>
        <v>0</v>
      </c>
      <c r="E154" s="189"/>
      <c r="F154" s="140"/>
    </row>
    <row r="155" spans="1:6" ht="38.25" hidden="1">
      <c r="A155" s="7" t="s">
        <v>219</v>
      </c>
      <c r="B155" s="148" t="s">
        <v>468</v>
      </c>
      <c r="C155" s="147"/>
      <c r="D155" s="158">
        <f>D156</f>
        <v>0</v>
      </c>
      <c r="E155" s="189"/>
      <c r="F155" s="140"/>
    </row>
    <row r="156" spans="1:6" ht="25.5" hidden="1">
      <c r="A156" s="159" t="s">
        <v>221</v>
      </c>
      <c r="B156" s="148" t="s">
        <v>468</v>
      </c>
      <c r="C156" s="147">
        <v>600</v>
      </c>
      <c r="D156" s="158"/>
      <c r="E156" s="189"/>
      <c r="F156" s="140"/>
    </row>
    <row r="157" spans="1:6" ht="51">
      <c r="A157" s="465" t="s">
        <v>711</v>
      </c>
      <c r="B157" s="257" t="s">
        <v>8</v>
      </c>
      <c r="C157" s="172" t="s">
        <v>87</v>
      </c>
      <c r="D157" s="171">
        <f>D158</f>
        <v>2736458</v>
      </c>
      <c r="E157" s="189"/>
      <c r="F157" s="140"/>
    </row>
    <row r="158" spans="1:6" ht="76.5">
      <c r="A158" s="214" t="s">
        <v>712</v>
      </c>
      <c r="B158" s="196" t="s">
        <v>9</v>
      </c>
      <c r="C158" s="209" t="s">
        <v>87</v>
      </c>
      <c r="D158" s="197">
        <f>D159</f>
        <v>2736458</v>
      </c>
      <c r="E158" s="189"/>
      <c r="F158" s="140"/>
    </row>
    <row r="159" spans="1:6" ht="38.25">
      <c r="A159" s="8" t="s">
        <v>37</v>
      </c>
      <c r="B159" s="196" t="s">
        <v>10</v>
      </c>
      <c r="C159" s="209"/>
      <c r="D159" s="197">
        <f>D160</f>
        <v>2736458</v>
      </c>
      <c r="E159" s="189"/>
      <c r="F159" s="140"/>
    </row>
    <row r="160" spans="1:5" ht="12.75">
      <c r="A160" s="198" t="s">
        <v>283</v>
      </c>
      <c r="B160" s="196" t="s">
        <v>11</v>
      </c>
      <c r="C160" s="209" t="s">
        <v>87</v>
      </c>
      <c r="D160" s="197">
        <f>SUM(D161:D162)</f>
        <v>2736458</v>
      </c>
      <c r="E160" s="189"/>
    </row>
    <row r="161" spans="1:5" ht="25.5">
      <c r="A161" s="5" t="s">
        <v>228</v>
      </c>
      <c r="B161" s="196" t="s">
        <v>11</v>
      </c>
      <c r="C161" s="195" t="s">
        <v>74</v>
      </c>
      <c r="D161" s="194">
        <v>2217496</v>
      </c>
      <c r="E161" s="189"/>
    </row>
    <row r="162" spans="1:5" ht="12.75">
      <c r="A162" s="193" t="s">
        <v>77</v>
      </c>
      <c r="B162" s="192" t="s">
        <v>11</v>
      </c>
      <c r="C162" s="191">
        <v>800</v>
      </c>
      <c r="D162" s="190">
        <v>518962</v>
      </c>
      <c r="E162" s="189"/>
    </row>
    <row r="163" spans="1:5" ht="51">
      <c r="A163" s="204" t="s">
        <v>479</v>
      </c>
      <c r="B163" s="257" t="s">
        <v>32</v>
      </c>
      <c r="C163" s="172"/>
      <c r="D163" s="171">
        <f>D164+D178+D190</f>
        <v>82040391.38</v>
      </c>
      <c r="E163" s="189"/>
    </row>
    <row r="164" spans="1:5" ht="76.5">
      <c r="A164" s="4" t="s">
        <v>215</v>
      </c>
      <c r="B164" s="196" t="s">
        <v>216</v>
      </c>
      <c r="C164" s="227"/>
      <c r="D164" s="197">
        <f>D168+D165+D175</f>
        <v>69423376.36</v>
      </c>
      <c r="E164" s="189"/>
    </row>
    <row r="165" spans="1:5" ht="38.25">
      <c r="A165" s="8" t="s">
        <v>998</v>
      </c>
      <c r="B165" s="148" t="s">
        <v>218</v>
      </c>
      <c r="C165" s="166"/>
      <c r="D165" s="197">
        <f>D166</f>
        <v>30000</v>
      </c>
      <c r="E165" s="189"/>
    </row>
    <row r="166" spans="1:5" ht="25.5">
      <c r="A166" s="198" t="s">
        <v>999</v>
      </c>
      <c r="B166" s="148" t="s">
        <v>1000</v>
      </c>
      <c r="C166" s="166"/>
      <c r="D166" s="197">
        <f>D167</f>
        <v>30000</v>
      </c>
      <c r="E166" s="189"/>
    </row>
    <row r="167" spans="1:5" ht="25.5">
      <c r="A167" s="486" t="s">
        <v>228</v>
      </c>
      <c r="B167" s="148" t="s">
        <v>1000</v>
      </c>
      <c r="C167" s="147">
        <v>200</v>
      </c>
      <c r="D167" s="197">
        <v>30000</v>
      </c>
      <c r="E167" s="189"/>
    </row>
    <row r="168" spans="1:5" ht="25.5">
      <c r="A168" s="448" t="s">
        <v>749</v>
      </c>
      <c r="B168" s="196" t="s">
        <v>64</v>
      </c>
      <c r="C168" s="227"/>
      <c r="D168" s="197">
        <f>D169+D171+D173</f>
        <v>69303376.36</v>
      </c>
      <c r="E168" s="189"/>
    </row>
    <row r="169" spans="1:5" ht="38.25">
      <c r="A169" s="448" t="s">
        <v>92</v>
      </c>
      <c r="B169" s="196" t="s">
        <v>705</v>
      </c>
      <c r="C169" s="227"/>
      <c r="D169" s="197">
        <f>D170</f>
        <v>35871602.67</v>
      </c>
      <c r="E169" s="189"/>
    </row>
    <row r="170" spans="1:5" ht="25.5">
      <c r="A170" s="443" t="s">
        <v>221</v>
      </c>
      <c r="B170" s="196" t="s">
        <v>705</v>
      </c>
      <c r="C170" s="195">
        <v>400</v>
      </c>
      <c r="D170" s="197">
        <v>35871602.67</v>
      </c>
      <c r="E170" s="189"/>
    </row>
    <row r="171" spans="1:5" ht="25.5">
      <c r="A171" s="448" t="s">
        <v>93</v>
      </c>
      <c r="B171" s="196" t="s">
        <v>706</v>
      </c>
      <c r="C171" s="227"/>
      <c r="D171" s="197">
        <f>D172</f>
        <v>18972534.33</v>
      </c>
      <c r="E171" s="189"/>
    </row>
    <row r="172" spans="1:5" ht="25.5">
      <c r="A172" s="443" t="s">
        <v>221</v>
      </c>
      <c r="B172" s="196" t="s">
        <v>706</v>
      </c>
      <c r="C172" s="195">
        <v>400</v>
      </c>
      <c r="D172" s="197">
        <v>18972534.33</v>
      </c>
      <c r="E172" s="189"/>
    </row>
    <row r="173" spans="1:5" ht="63.75">
      <c r="A173" s="441" t="s">
        <v>67</v>
      </c>
      <c r="B173" s="196" t="s">
        <v>292</v>
      </c>
      <c r="C173" s="227"/>
      <c r="D173" s="197">
        <f>D174</f>
        <v>14459239.36</v>
      </c>
      <c r="E173" s="189"/>
    </row>
    <row r="174" spans="1:6" ht="25.5">
      <c r="A174" s="443" t="s">
        <v>221</v>
      </c>
      <c r="B174" s="196" t="s">
        <v>292</v>
      </c>
      <c r="C174" s="195">
        <v>400</v>
      </c>
      <c r="D174" s="194">
        <v>14459239.36</v>
      </c>
      <c r="E174" s="189"/>
      <c r="F174" s="255"/>
    </row>
    <row r="175" spans="1:6" ht="38.25">
      <c r="A175" s="159" t="s">
        <v>1009</v>
      </c>
      <c r="B175" s="148" t="s">
        <v>1010</v>
      </c>
      <c r="C175" s="147"/>
      <c r="D175" s="158">
        <f>D176</f>
        <v>90000</v>
      </c>
      <c r="E175" s="189"/>
      <c r="F175" s="255"/>
    </row>
    <row r="176" spans="1:6" ht="25.5">
      <c r="A176" s="159" t="s">
        <v>999</v>
      </c>
      <c r="B176" s="148" t="s">
        <v>1011</v>
      </c>
      <c r="C176" s="147"/>
      <c r="D176" s="158">
        <f>D177</f>
        <v>90000</v>
      </c>
      <c r="E176" s="189"/>
      <c r="F176" s="255"/>
    </row>
    <row r="177" spans="1:6" ht="25.5">
      <c r="A177" s="159" t="s">
        <v>228</v>
      </c>
      <c r="B177" s="148" t="s">
        <v>1011</v>
      </c>
      <c r="C177" s="147" t="s">
        <v>74</v>
      </c>
      <c r="D177" s="158">
        <v>90000</v>
      </c>
      <c r="E177" s="189"/>
      <c r="F177" s="255"/>
    </row>
    <row r="178" spans="1:6" ht="63.75">
      <c r="A178" s="4" t="s">
        <v>480</v>
      </c>
      <c r="B178" s="199" t="s">
        <v>556</v>
      </c>
      <c r="C178" s="227"/>
      <c r="D178" s="197">
        <f>D179+D182+D186</f>
        <v>12617015.02</v>
      </c>
      <c r="E178" s="189"/>
      <c r="F178" s="255"/>
    </row>
    <row r="179" spans="1:6" ht="25.5">
      <c r="A179" s="7" t="s">
        <v>234</v>
      </c>
      <c r="B179" s="196" t="s">
        <v>267</v>
      </c>
      <c r="C179" s="227"/>
      <c r="D179" s="197">
        <f>D180</f>
        <v>663000</v>
      </c>
      <c r="E179" s="189"/>
      <c r="F179" s="255"/>
    </row>
    <row r="180" spans="1:5" ht="24">
      <c r="A180" s="9" t="s">
        <v>266</v>
      </c>
      <c r="B180" s="196" t="s">
        <v>265</v>
      </c>
      <c r="C180" s="227"/>
      <c r="D180" s="197">
        <f>SUM(D181:D181)</f>
        <v>663000</v>
      </c>
      <c r="E180" s="189"/>
    </row>
    <row r="181" spans="1:5" ht="25.5">
      <c r="A181" s="5" t="s">
        <v>228</v>
      </c>
      <c r="B181" s="196" t="s">
        <v>265</v>
      </c>
      <c r="C181" s="195">
        <v>200</v>
      </c>
      <c r="D181" s="194">
        <v>663000</v>
      </c>
      <c r="E181" s="189"/>
    </row>
    <row r="182" spans="1:5" ht="25.5">
      <c r="A182" s="7" t="s">
        <v>353</v>
      </c>
      <c r="B182" s="196" t="s">
        <v>454</v>
      </c>
      <c r="C182" s="195"/>
      <c r="D182" s="197">
        <f>D183</f>
        <v>11589350.08</v>
      </c>
      <c r="E182" s="189"/>
    </row>
    <row r="183" spans="1:5" ht="12.75">
      <c r="A183" s="12" t="s">
        <v>732</v>
      </c>
      <c r="B183" s="196" t="s">
        <v>455</v>
      </c>
      <c r="C183" s="195" t="s">
        <v>87</v>
      </c>
      <c r="D183" s="197">
        <f>SUM(D184:D185)</f>
        <v>11589350.08</v>
      </c>
      <c r="E183" s="189"/>
    </row>
    <row r="184" spans="1:5" ht="25.5">
      <c r="A184" s="5" t="s">
        <v>228</v>
      </c>
      <c r="B184" s="196" t="s">
        <v>455</v>
      </c>
      <c r="C184" s="195">
        <v>200</v>
      </c>
      <c r="D184" s="194">
        <v>3730774.23</v>
      </c>
      <c r="E184" s="189"/>
    </row>
    <row r="185" spans="1:5" ht="12.75">
      <c r="A185" s="5" t="s">
        <v>77</v>
      </c>
      <c r="B185" s="196" t="s">
        <v>455</v>
      </c>
      <c r="C185" s="195">
        <v>800</v>
      </c>
      <c r="D185" s="194">
        <v>7858575.85</v>
      </c>
      <c r="E185" s="189"/>
    </row>
    <row r="186" spans="1:5" ht="25.5">
      <c r="A186" s="7" t="s">
        <v>953</v>
      </c>
      <c r="B186" s="148" t="s">
        <v>954</v>
      </c>
      <c r="C186" s="166"/>
      <c r="D186" s="158">
        <f>D188</f>
        <v>364664.94</v>
      </c>
      <c r="E186" s="189"/>
    </row>
    <row r="187" spans="1:5" ht="12.75">
      <c r="A187" s="7" t="s">
        <v>955</v>
      </c>
      <c r="B187" s="148" t="s">
        <v>956</v>
      </c>
      <c r="C187" s="166"/>
      <c r="D187" s="194">
        <f>D188</f>
        <v>364664.94</v>
      </c>
      <c r="E187" s="189"/>
    </row>
    <row r="188" spans="1:6" ht="25.5">
      <c r="A188" s="7" t="s">
        <v>228</v>
      </c>
      <c r="B188" s="148" t="s">
        <v>956</v>
      </c>
      <c r="C188" s="147" t="s">
        <v>74</v>
      </c>
      <c r="D188" s="158">
        <v>364664.94</v>
      </c>
      <c r="E188" s="189"/>
      <c r="F188" s="255"/>
    </row>
    <row r="189" spans="1:6" ht="12.75" hidden="1">
      <c r="A189" s="159"/>
      <c r="B189" s="148"/>
      <c r="C189" s="147"/>
      <c r="D189" s="158"/>
      <c r="E189" s="189"/>
      <c r="F189" s="255"/>
    </row>
    <row r="190" spans="1:6" ht="12.75" hidden="1">
      <c r="A190" s="50"/>
      <c r="B190" s="60"/>
      <c r="C190" s="51"/>
      <c r="D190" s="55">
        <f>D191</f>
        <v>0</v>
      </c>
      <c r="E190" s="189"/>
      <c r="F190" s="255"/>
    </row>
    <row r="191" spans="1:5" ht="12.75" hidden="1">
      <c r="A191" s="449"/>
      <c r="B191" s="48"/>
      <c r="C191" s="51"/>
      <c r="D191" s="55">
        <f>D192</f>
        <v>0</v>
      </c>
      <c r="E191" s="189"/>
    </row>
    <row r="192" spans="1:5" ht="25.5" hidden="1">
      <c r="A192" s="58" t="s">
        <v>228</v>
      </c>
      <c r="B192" s="61" t="s">
        <v>330</v>
      </c>
      <c r="C192" s="59">
        <v>200</v>
      </c>
      <c r="D192" s="92"/>
      <c r="E192" s="189"/>
    </row>
    <row r="193" spans="1:5" ht="51">
      <c r="A193" s="204" t="s">
        <v>438</v>
      </c>
      <c r="B193" s="257" t="s">
        <v>437</v>
      </c>
      <c r="C193" s="172" t="s">
        <v>87</v>
      </c>
      <c r="D193" s="171">
        <f>D194+D207</f>
        <v>2734600</v>
      </c>
      <c r="E193" s="189"/>
    </row>
    <row r="194" spans="1:5" ht="76.5">
      <c r="A194" s="4" t="s">
        <v>352</v>
      </c>
      <c r="B194" s="199" t="s">
        <v>488</v>
      </c>
      <c r="C194" s="195" t="s">
        <v>87</v>
      </c>
      <c r="D194" s="197">
        <f>D195+D204</f>
        <v>2634600</v>
      </c>
      <c r="E194" s="189"/>
    </row>
    <row r="195" spans="1:5" ht="25.5">
      <c r="A195" s="12" t="s">
        <v>487</v>
      </c>
      <c r="B195" s="196" t="s">
        <v>486</v>
      </c>
      <c r="C195" s="195"/>
      <c r="D195" s="197">
        <f>D198+D201+D196</f>
        <v>2554600</v>
      </c>
      <c r="E195" s="189"/>
    </row>
    <row r="196" spans="1:5" ht="12.75">
      <c r="A196" s="441" t="s">
        <v>485</v>
      </c>
      <c r="B196" s="148" t="s">
        <v>484</v>
      </c>
      <c r="C196" s="149"/>
      <c r="D196" s="197">
        <f>D197</f>
        <v>7000</v>
      </c>
      <c r="E196" s="189"/>
    </row>
    <row r="197" spans="1:5" ht="25.5">
      <c r="A197" s="159" t="s">
        <v>90</v>
      </c>
      <c r="B197" s="148" t="s">
        <v>484</v>
      </c>
      <c r="C197" s="149">
        <v>600</v>
      </c>
      <c r="D197" s="197">
        <v>7000</v>
      </c>
      <c r="E197" s="189"/>
    </row>
    <row r="198" spans="1:5" ht="12.75">
      <c r="A198" s="49" t="s">
        <v>634</v>
      </c>
      <c r="B198" s="196" t="s">
        <v>635</v>
      </c>
      <c r="C198" s="198"/>
      <c r="D198" s="197">
        <f>SUM(D199:D200)</f>
        <v>993564</v>
      </c>
      <c r="E198" s="189"/>
    </row>
    <row r="199" spans="1:5" ht="12.75">
      <c r="A199" s="5" t="s">
        <v>81</v>
      </c>
      <c r="B199" s="196" t="s">
        <v>635</v>
      </c>
      <c r="C199" s="198">
        <v>300</v>
      </c>
      <c r="D199" s="194">
        <v>596232</v>
      </c>
      <c r="E199" s="189"/>
    </row>
    <row r="200" spans="1:5" ht="25.5">
      <c r="A200" s="5" t="s">
        <v>90</v>
      </c>
      <c r="B200" s="196" t="s">
        <v>635</v>
      </c>
      <c r="C200" s="198">
        <v>600</v>
      </c>
      <c r="D200" s="194">
        <v>397332</v>
      </c>
      <c r="E200" s="189"/>
    </row>
    <row r="201" spans="1:5" ht="25.5">
      <c r="A201" s="454" t="s">
        <v>495</v>
      </c>
      <c r="B201" s="196" t="s">
        <v>281</v>
      </c>
      <c r="C201" s="198"/>
      <c r="D201" s="197">
        <f>D202+D203</f>
        <v>1554036</v>
      </c>
      <c r="E201" s="189"/>
    </row>
    <row r="202" spans="1:5" ht="12.75">
      <c r="A202" s="5" t="s">
        <v>81</v>
      </c>
      <c r="B202" s="196" t="s">
        <v>281</v>
      </c>
      <c r="C202" s="198">
        <v>300</v>
      </c>
      <c r="D202" s="197">
        <v>932568</v>
      </c>
      <c r="E202" s="189"/>
    </row>
    <row r="203" spans="1:6" ht="25.5">
      <c r="A203" s="5" t="s">
        <v>90</v>
      </c>
      <c r="B203" s="196" t="s">
        <v>281</v>
      </c>
      <c r="C203" s="198">
        <v>600</v>
      </c>
      <c r="D203" s="194">
        <v>621468</v>
      </c>
      <c r="E203" s="189"/>
      <c r="F203" s="466"/>
    </row>
    <row r="204" spans="1:5" ht="38.25">
      <c r="A204" s="12" t="s">
        <v>752</v>
      </c>
      <c r="B204" s="196" t="s">
        <v>753</v>
      </c>
      <c r="C204" s="195"/>
      <c r="D204" s="197">
        <f>D205</f>
        <v>80000</v>
      </c>
      <c r="E204" s="189"/>
    </row>
    <row r="205" spans="1:5" ht="12.75">
      <c r="A205" s="12" t="s">
        <v>755</v>
      </c>
      <c r="B205" s="196" t="s">
        <v>754</v>
      </c>
      <c r="C205" s="195"/>
      <c r="D205" s="197">
        <f>D206</f>
        <v>80000</v>
      </c>
      <c r="E205" s="189"/>
    </row>
    <row r="206" spans="1:5" ht="25.5">
      <c r="A206" s="5" t="s">
        <v>228</v>
      </c>
      <c r="B206" s="196" t="s">
        <v>754</v>
      </c>
      <c r="C206" s="195">
        <v>200</v>
      </c>
      <c r="D206" s="194">
        <v>80000</v>
      </c>
      <c r="E206" s="189"/>
    </row>
    <row r="207" spans="1:6" ht="63.75">
      <c r="A207" s="4" t="s">
        <v>436</v>
      </c>
      <c r="B207" s="196" t="s">
        <v>248</v>
      </c>
      <c r="C207" s="209" t="s">
        <v>87</v>
      </c>
      <c r="D207" s="197">
        <f>D208</f>
        <v>100000</v>
      </c>
      <c r="E207" s="189"/>
      <c r="F207" s="467"/>
    </row>
    <row r="208" spans="1:6" ht="51">
      <c r="A208" s="12" t="s">
        <v>247</v>
      </c>
      <c r="B208" s="196" t="s">
        <v>246</v>
      </c>
      <c r="C208" s="209"/>
      <c r="D208" s="197">
        <f>D209</f>
        <v>100000</v>
      </c>
      <c r="E208" s="189"/>
      <c r="F208" s="255"/>
    </row>
    <row r="209" spans="1:5" ht="51">
      <c r="A209" s="12" t="s">
        <v>245</v>
      </c>
      <c r="B209" s="196" t="s">
        <v>244</v>
      </c>
      <c r="C209" s="209"/>
      <c r="D209" s="197">
        <f>D210</f>
        <v>100000</v>
      </c>
      <c r="E209" s="189"/>
    </row>
    <row r="210" spans="1:5" ht="25.5">
      <c r="A210" s="193" t="s">
        <v>228</v>
      </c>
      <c r="B210" s="192" t="s">
        <v>244</v>
      </c>
      <c r="C210" s="191">
        <v>200</v>
      </c>
      <c r="D210" s="190">
        <v>100000</v>
      </c>
      <c r="E210" s="189"/>
    </row>
    <row r="211" spans="1:5" ht="51">
      <c r="A211" s="204" t="s">
        <v>478</v>
      </c>
      <c r="B211" s="257" t="s">
        <v>29</v>
      </c>
      <c r="C211" s="258" t="s">
        <v>87</v>
      </c>
      <c r="D211" s="171">
        <f>D212+D225+D229</f>
        <v>63344877.15</v>
      </c>
      <c r="E211" s="189"/>
    </row>
    <row r="212" spans="1:5" ht="63.75">
      <c r="A212" s="4" t="s">
        <v>47</v>
      </c>
      <c r="B212" s="199" t="s">
        <v>233</v>
      </c>
      <c r="C212" s="209" t="s">
        <v>87</v>
      </c>
      <c r="D212" s="197">
        <f>D213+D217+D222</f>
        <v>61631329</v>
      </c>
      <c r="E212" s="189"/>
    </row>
    <row r="213" spans="1:5" ht="25.5">
      <c r="A213" s="8" t="s">
        <v>232</v>
      </c>
      <c r="B213" s="196" t="s">
        <v>231</v>
      </c>
      <c r="C213" s="209"/>
      <c r="D213" s="197">
        <f>D214</f>
        <v>1069302.67</v>
      </c>
      <c r="E213" s="189"/>
    </row>
    <row r="214" spans="1:5" ht="25.5">
      <c r="A214" s="12" t="s">
        <v>31</v>
      </c>
      <c r="B214" s="196" t="s">
        <v>230</v>
      </c>
      <c r="C214" s="209"/>
      <c r="D214" s="197">
        <f>D215+D216</f>
        <v>1069302.67</v>
      </c>
      <c r="E214" s="189"/>
    </row>
    <row r="215" spans="1:5" ht="25.5" hidden="1">
      <c r="A215" s="5" t="s">
        <v>228</v>
      </c>
      <c r="B215" s="196" t="s">
        <v>230</v>
      </c>
      <c r="C215" s="147">
        <v>200</v>
      </c>
      <c r="D215" s="194"/>
      <c r="E215" s="189"/>
    </row>
    <row r="216" spans="1:5" ht="12.75">
      <c r="A216" s="5" t="s">
        <v>77</v>
      </c>
      <c r="B216" s="196" t="s">
        <v>230</v>
      </c>
      <c r="C216" s="195">
        <v>800</v>
      </c>
      <c r="D216" s="194">
        <v>1069302.67</v>
      </c>
      <c r="E216" s="189"/>
    </row>
    <row r="217" spans="1:5" ht="25.5">
      <c r="A217" s="8" t="s">
        <v>229</v>
      </c>
      <c r="B217" s="196" t="s">
        <v>250</v>
      </c>
      <c r="C217" s="209"/>
      <c r="D217" s="197">
        <f>D220+D218</f>
        <v>60562026.33</v>
      </c>
      <c r="E217" s="189"/>
    </row>
    <row r="218" spans="1:5" ht="38.25">
      <c r="A218" s="104" t="s">
        <v>628</v>
      </c>
      <c r="B218" s="106" t="s">
        <v>148</v>
      </c>
      <c r="C218" s="105"/>
      <c r="D218" s="197">
        <f>D219</f>
        <v>57294342</v>
      </c>
      <c r="E218" s="189"/>
    </row>
    <row r="219" spans="1:5" ht="25.5">
      <c r="A219" s="108" t="s">
        <v>228</v>
      </c>
      <c r="B219" s="106" t="s">
        <v>148</v>
      </c>
      <c r="C219" s="105">
        <v>200</v>
      </c>
      <c r="D219" s="194">
        <v>57294342</v>
      </c>
      <c r="E219" s="189"/>
    </row>
    <row r="220" spans="1:5" ht="38.25">
      <c r="A220" s="49" t="s">
        <v>628</v>
      </c>
      <c r="B220" s="48" t="s">
        <v>627</v>
      </c>
      <c r="C220" s="195" t="s">
        <v>87</v>
      </c>
      <c r="D220" s="197">
        <f>D221</f>
        <v>3267684.33</v>
      </c>
      <c r="E220" s="189"/>
    </row>
    <row r="221" spans="1:5" ht="25.5">
      <c r="A221" s="5" t="s">
        <v>228</v>
      </c>
      <c r="B221" s="48" t="s">
        <v>627</v>
      </c>
      <c r="C221" s="195">
        <v>200</v>
      </c>
      <c r="D221" s="194">
        <v>3267684.33</v>
      </c>
      <c r="E221" s="189"/>
    </row>
    <row r="222" spans="1:5" ht="38.25" hidden="1">
      <c r="A222" s="5" t="s">
        <v>65</v>
      </c>
      <c r="B222" s="196" t="s">
        <v>66</v>
      </c>
      <c r="C222" s="195"/>
      <c r="D222" s="197">
        <f>D223</f>
        <v>0</v>
      </c>
      <c r="E222" s="189"/>
    </row>
    <row r="223" spans="1:5" ht="24" hidden="1">
      <c r="A223" s="438" t="s">
        <v>744</v>
      </c>
      <c r="B223" s="196" t="s">
        <v>745</v>
      </c>
      <c r="C223" s="195"/>
      <c r="D223" s="197">
        <f>D224</f>
        <v>0</v>
      </c>
      <c r="E223" s="189"/>
    </row>
    <row r="224" spans="1:5" ht="25.5" hidden="1">
      <c r="A224" s="443" t="s">
        <v>221</v>
      </c>
      <c r="B224" s="196" t="s">
        <v>745</v>
      </c>
      <c r="C224" s="195">
        <v>400</v>
      </c>
      <c r="D224" s="194"/>
      <c r="E224" s="189"/>
    </row>
    <row r="225" spans="1:5" ht="65.25" customHeight="1">
      <c r="A225" s="4" t="s">
        <v>260</v>
      </c>
      <c r="B225" s="199" t="s">
        <v>30</v>
      </c>
      <c r="C225" s="195"/>
      <c r="D225" s="197">
        <f>D226</f>
        <v>200272</v>
      </c>
      <c r="E225" s="189"/>
    </row>
    <row r="226" spans="1:5" ht="51">
      <c r="A226" s="8" t="s">
        <v>99</v>
      </c>
      <c r="B226" s="196" t="s">
        <v>449</v>
      </c>
      <c r="C226" s="195"/>
      <c r="D226" s="197">
        <f>D227</f>
        <v>200272</v>
      </c>
      <c r="E226" s="189"/>
    </row>
    <row r="227" spans="1:5" ht="25.5">
      <c r="A227" s="12" t="s">
        <v>348</v>
      </c>
      <c r="B227" s="196" t="s">
        <v>347</v>
      </c>
      <c r="C227" s="195"/>
      <c r="D227" s="197">
        <f>D228</f>
        <v>200272</v>
      </c>
      <c r="E227" s="189"/>
    </row>
    <row r="228" spans="1:5" ht="12.75">
      <c r="A228" s="8" t="s">
        <v>77</v>
      </c>
      <c r="B228" s="196" t="s">
        <v>347</v>
      </c>
      <c r="C228" s="195">
        <v>800</v>
      </c>
      <c r="D228" s="197">
        <v>200272</v>
      </c>
      <c r="E228" s="189"/>
    </row>
    <row r="229" spans="1:5" ht="25.5">
      <c r="A229" s="394" t="s">
        <v>887</v>
      </c>
      <c r="B229" s="199" t="s">
        <v>919</v>
      </c>
      <c r="C229" s="213"/>
      <c r="D229" s="197">
        <f>D230</f>
        <v>1513276.15</v>
      </c>
      <c r="E229" s="189"/>
    </row>
    <row r="230" spans="1:5" ht="38.25">
      <c r="A230" s="12" t="s">
        <v>888</v>
      </c>
      <c r="B230" s="196" t="s">
        <v>920</v>
      </c>
      <c r="C230" s="195"/>
      <c r="D230" s="197">
        <f>D231</f>
        <v>1513276.15</v>
      </c>
      <c r="E230" s="189"/>
    </row>
    <row r="231" spans="1:5" ht="12.75">
      <c r="A231" s="12" t="s">
        <v>889</v>
      </c>
      <c r="B231" s="196" t="s">
        <v>921</v>
      </c>
      <c r="C231" s="195"/>
      <c r="D231" s="197">
        <f>D232</f>
        <v>1513276.15</v>
      </c>
      <c r="E231" s="189"/>
    </row>
    <row r="232" spans="1:5" ht="25.5">
      <c r="A232" s="12" t="s">
        <v>228</v>
      </c>
      <c r="B232" s="196" t="s">
        <v>921</v>
      </c>
      <c r="C232" s="195">
        <v>200</v>
      </c>
      <c r="D232" s="197">
        <v>1513276.15</v>
      </c>
      <c r="E232" s="189"/>
    </row>
    <row r="233" spans="1:5" ht="51">
      <c r="A233" s="204" t="s">
        <v>296</v>
      </c>
      <c r="B233" s="172" t="s">
        <v>12</v>
      </c>
      <c r="C233" s="172"/>
      <c r="D233" s="171">
        <f>D234</f>
        <v>384700</v>
      </c>
      <c r="E233" s="189"/>
    </row>
    <row r="234" spans="1:5" ht="63.75">
      <c r="A234" s="4" t="s">
        <v>297</v>
      </c>
      <c r="B234" s="195" t="s">
        <v>13</v>
      </c>
      <c r="C234" s="195"/>
      <c r="D234" s="197">
        <f>D235+D238</f>
        <v>384700</v>
      </c>
      <c r="E234" s="189"/>
    </row>
    <row r="235" spans="1:5" ht="25.5">
      <c r="A235" s="53" t="s">
        <v>284</v>
      </c>
      <c r="B235" s="195" t="s">
        <v>110</v>
      </c>
      <c r="C235" s="195"/>
      <c r="D235" s="197">
        <f>D236</f>
        <v>50000</v>
      </c>
      <c r="E235" s="189"/>
    </row>
    <row r="236" spans="1:5" ht="24">
      <c r="A236" s="438" t="s">
        <v>271</v>
      </c>
      <c r="B236" s="51" t="s">
        <v>285</v>
      </c>
      <c r="C236" s="51"/>
      <c r="D236" s="55">
        <f>D237</f>
        <v>50000</v>
      </c>
      <c r="E236" s="189"/>
    </row>
    <row r="237" spans="1:5" ht="25.5">
      <c r="A237" s="53" t="s">
        <v>228</v>
      </c>
      <c r="B237" s="51" t="s">
        <v>285</v>
      </c>
      <c r="C237" s="51">
        <v>200</v>
      </c>
      <c r="D237" s="55">
        <v>50000</v>
      </c>
      <c r="E237" s="189"/>
    </row>
    <row r="238" spans="1:5" ht="25.5">
      <c r="A238" s="5" t="s">
        <v>286</v>
      </c>
      <c r="B238" s="195" t="s">
        <v>275</v>
      </c>
      <c r="C238" s="51"/>
      <c r="D238" s="55">
        <f>D239+D241</f>
        <v>334700</v>
      </c>
      <c r="E238" s="189"/>
    </row>
    <row r="239" spans="1:5" ht="38.25">
      <c r="A239" s="5" t="s">
        <v>109</v>
      </c>
      <c r="B239" s="195" t="s">
        <v>287</v>
      </c>
      <c r="C239" s="195"/>
      <c r="D239" s="197">
        <f>SUM(D240:D240)</f>
        <v>334700</v>
      </c>
      <c r="E239" s="189"/>
    </row>
    <row r="240" spans="1:5" ht="58.5" customHeight="1">
      <c r="A240" s="5" t="s">
        <v>735</v>
      </c>
      <c r="B240" s="195" t="s">
        <v>287</v>
      </c>
      <c r="C240" s="195">
        <v>100</v>
      </c>
      <c r="D240" s="194">
        <v>334700</v>
      </c>
      <c r="E240" s="189"/>
    </row>
    <row r="241" spans="1:5" ht="56.25" customHeight="1" hidden="1">
      <c r="A241" s="438" t="s">
        <v>271</v>
      </c>
      <c r="B241" s="195" t="s">
        <v>272</v>
      </c>
      <c r="C241" s="195"/>
      <c r="D241" s="197">
        <f>D242</f>
        <v>0</v>
      </c>
      <c r="E241" s="189"/>
    </row>
    <row r="242" spans="1:5" ht="25.5" hidden="1">
      <c r="A242" s="193" t="s">
        <v>228</v>
      </c>
      <c r="B242" s="191" t="s">
        <v>272</v>
      </c>
      <c r="C242" s="191">
        <v>200</v>
      </c>
      <c r="D242" s="190"/>
      <c r="E242" s="189"/>
    </row>
    <row r="243" spans="1:5" ht="51">
      <c r="A243" s="204" t="s">
        <v>482</v>
      </c>
      <c r="B243" s="257" t="s">
        <v>19</v>
      </c>
      <c r="C243" s="172" t="s">
        <v>87</v>
      </c>
      <c r="D243" s="171">
        <f>D244</f>
        <v>2771627</v>
      </c>
      <c r="E243" s="189"/>
    </row>
    <row r="244" spans="1:5" ht="76.5">
      <c r="A244" s="440" t="s">
        <v>294</v>
      </c>
      <c r="B244" s="196" t="s">
        <v>883</v>
      </c>
      <c r="C244" s="195"/>
      <c r="D244" s="197">
        <f>D245+D250</f>
        <v>2771627</v>
      </c>
      <c r="E244" s="189"/>
    </row>
    <row r="245" spans="1:5" ht="55.5" customHeight="1">
      <c r="A245" s="7" t="s">
        <v>259</v>
      </c>
      <c r="B245" s="196" t="s">
        <v>932</v>
      </c>
      <c r="C245" s="195"/>
      <c r="D245" s="197">
        <f>D246+D253</f>
        <v>2671627</v>
      </c>
      <c r="E245" s="189"/>
    </row>
    <row r="246" spans="1:5" ht="25.5">
      <c r="A246" s="198" t="s">
        <v>494</v>
      </c>
      <c r="B246" s="196" t="s">
        <v>927</v>
      </c>
      <c r="C246" s="195" t="s">
        <v>87</v>
      </c>
      <c r="D246" s="197">
        <f>SUM(D247:D249)</f>
        <v>2671627</v>
      </c>
      <c r="E246" s="189"/>
    </row>
    <row r="247" spans="1:5" ht="51">
      <c r="A247" s="5" t="s">
        <v>735</v>
      </c>
      <c r="B247" s="196" t="s">
        <v>927</v>
      </c>
      <c r="C247" s="195" t="s">
        <v>592</v>
      </c>
      <c r="D247" s="194">
        <v>2484982</v>
      </c>
      <c r="E247" s="189"/>
    </row>
    <row r="248" spans="1:5" ht="25.5">
      <c r="A248" s="5" t="s">
        <v>228</v>
      </c>
      <c r="B248" s="196" t="s">
        <v>927</v>
      </c>
      <c r="C248" s="195" t="s">
        <v>74</v>
      </c>
      <c r="D248" s="194">
        <v>185445</v>
      </c>
      <c r="E248" s="189"/>
    </row>
    <row r="249" spans="1:5" ht="12.75">
      <c r="A249" s="193" t="s">
        <v>77</v>
      </c>
      <c r="B249" s="196" t="s">
        <v>927</v>
      </c>
      <c r="C249" s="191" t="s">
        <v>78</v>
      </c>
      <c r="D249" s="190">
        <v>1200</v>
      </c>
      <c r="E249" s="189"/>
    </row>
    <row r="250" spans="1:5" ht="36">
      <c r="A250" s="438" t="s">
        <v>882</v>
      </c>
      <c r="B250" s="144" t="s">
        <v>884</v>
      </c>
      <c r="C250" s="230"/>
      <c r="D250" s="393">
        <f>D251</f>
        <v>100000</v>
      </c>
      <c r="E250" s="189"/>
    </row>
    <row r="251" spans="1:5" ht="24">
      <c r="A251" s="438" t="s">
        <v>271</v>
      </c>
      <c r="B251" s="144" t="s">
        <v>885</v>
      </c>
      <c r="C251" s="230"/>
      <c r="D251" s="393">
        <f>D252</f>
        <v>100000</v>
      </c>
      <c r="E251" s="189"/>
    </row>
    <row r="252" spans="1:5" ht="24">
      <c r="A252" s="438" t="s">
        <v>151</v>
      </c>
      <c r="B252" s="144" t="s">
        <v>885</v>
      </c>
      <c r="C252" s="392">
        <v>200</v>
      </c>
      <c r="D252" s="393">
        <v>100000</v>
      </c>
      <c r="E252" s="189"/>
    </row>
    <row r="253" spans="1:5" ht="25.5" hidden="1">
      <c r="A253" s="159" t="s">
        <v>869</v>
      </c>
      <c r="B253" s="144" t="s">
        <v>870</v>
      </c>
      <c r="C253" s="312"/>
      <c r="D253" s="234">
        <f>D254</f>
        <v>0</v>
      </c>
      <c r="E253" s="189"/>
    </row>
    <row r="254" spans="1:5" ht="25.5" hidden="1">
      <c r="A254" s="159" t="s">
        <v>228</v>
      </c>
      <c r="B254" s="144" t="s">
        <v>870</v>
      </c>
      <c r="C254" s="191">
        <v>200</v>
      </c>
      <c r="D254" s="190"/>
      <c r="E254" s="189"/>
    </row>
    <row r="255" spans="1:5" ht="25.5">
      <c r="A255" s="204" t="s">
        <v>171</v>
      </c>
      <c r="B255" s="257" t="s">
        <v>693</v>
      </c>
      <c r="C255" s="258" t="s">
        <v>87</v>
      </c>
      <c r="D255" s="171">
        <f>D256+D260</f>
        <v>4453392</v>
      </c>
      <c r="E255" s="189"/>
    </row>
    <row r="256" spans="1:5" ht="38.25">
      <c r="A256" s="4" t="s">
        <v>391</v>
      </c>
      <c r="B256" s="196" t="s">
        <v>119</v>
      </c>
      <c r="C256" s="209" t="s">
        <v>87</v>
      </c>
      <c r="D256" s="197">
        <f>D257</f>
        <v>33000</v>
      </c>
      <c r="E256" s="189"/>
    </row>
    <row r="257" spans="1:5" ht="38.25">
      <c r="A257" s="7" t="s">
        <v>118</v>
      </c>
      <c r="B257" s="196" t="s">
        <v>120</v>
      </c>
      <c r="C257" s="209"/>
      <c r="D257" s="197">
        <f>D258</f>
        <v>33000</v>
      </c>
      <c r="E257" s="189"/>
    </row>
    <row r="258" spans="1:5" ht="12.75">
      <c r="A258" s="12" t="s">
        <v>121</v>
      </c>
      <c r="B258" s="196" t="s">
        <v>122</v>
      </c>
      <c r="C258" s="209" t="s">
        <v>87</v>
      </c>
      <c r="D258" s="197">
        <f>D259</f>
        <v>33000</v>
      </c>
      <c r="E258" s="189"/>
    </row>
    <row r="259" spans="1:5" ht="12.75">
      <c r="A259" s="5" t="s">
        <v>493</v>
      </c>
      <c r="B259" s="196" t="s">
        <v>122</v>
      </c>
      <c r="C259" s="195" t="s">
        <v>82</v>
      </c>
      <c r="D259" s="194">
        <f>33000</f>
        <v>33000</v>
      </c>
      <c r="E259" s="189"/>
    </row>
    <row r="260" spans="1:5" ht="38.25">
      <c r="A260" s="4" t="s">
        <v>173</v>
      </c>
      <c r="B260" s="195" t="s">
        <v>694</v>
      </c>
      <c r="C260" s="195" t="s">
        <v>87</v>
      </c>
      <c r="D260" s="197">
        <f>D261</f>
        <v>4420392</v>
      </c>
      <c r="E260" s="189"/>
    </row>
    <row r="261" spans="1:5" ht="38.25">
      <c r="A261" s="7" t="s">
        <v>594</v>
      </c>
      <c r="B261" s="195" t="s">
        <v>312</v>
      </c>
      <c r="C261" s="195"/>
      <c r="D261" s="197">
        <f>D262</f>
        <v>4420392</v>
      </c>
      <c r="E261" s="189"/>
    </row>
    <row r="262" spans="1:5" ht="27.75" customHeight="1">
      <c r="A262" s="198" t="s">
        <v>731</v>
      </c>
      <c r="B262" s="195" t="s">
        <v>695</v>
      </c>
      <c r="C262" s="195" t="s">
        <v>87</v>
      </c>
      <c r="D262" s="197">
        <f>SUM(D263:D265)</f>
        <v>4420392</v>
      </c>
      <c r="E262" s="189"/>
    </row>
    <row r="263" spans="1:5" ht="51">
      <c r="A263" s="5" t="s">
        <v>735</v>
      </c>
      <c r="B263" s="195" t="s">
        <v>695</v>
      </c>
      <c r="C263" s="195">
        <v>100</v>
      </c>
      <c r="D263" s="194">
        <f>4013155+4338</f>
        <v>4017493</v>
      </c>
      <c r="E263" s="189"/>
    </row>
    <row r="264" spans="1:5" ht="25.5">
      <c r="A264" s="5" t="s">
        <v>228</v>
      </c>
      <c r="B264" s="195" t="s">
        <v>695</v>
      </c>
      <c r="C264" s="195" t="s">
        <v>74</v>
      </c>
      <c r="D264" s="194">
        <f>402899</f>
        <v>402899</v>
      </c>
      <c r="E264" s="189"/>
    </row>
    <row r="265" spans="1:5" ht="12.75" hidden="1">
      <c r="A265" s="193" t="s">
        <v>77</v>
      </c>
      <c r="B265" s="191" t="s">
        <v>695</v>
      </c>
      <c r="C265" s="191">
        <v>800</v>
      </c>
      <c r="D265" s="190"/>
      <c r="E265" s="189"/>
    </row>
    <row r="266" spans="1:5" ht="38.25" hidden="1">
      <c r="A266" s="204" t="s">
        <v>48</v>
      </c>
      <c r="B266" s="202" t="s">
        <v>630</v>
      </c>
      <c r="C266" s="468"/>
      <c r="D266" s="200">
        <f>D267</f>
        <v>0</v>
      </c>
      <c r="E266" s="189"/>
    </row>
    <row r="267" spans="1:5" ht="24" hidden="1">
      <c r="A267" s="438" t="s">
        <v>633</v>
      </c>
      <c r="B267" s="196" t="s">
        <v>632</v>
      </c>
      <c r="C267" s="464"/>
      <c r="D267" s="197">
        <f>D268</f>
        <v>0</v>
      </c>
      <c r="E267" s="189"/>
    </row>
    <row r="268" spans="1:5" ht="38.25" hidden="1">
      <c r="A268" s="439" t="s">
        <v>631</v>
      </c>
      <c r="B268" s="196" t="s">
        <v>98</v>
      </c>
      <c r="C268" s="464"/>
      <c r="D268" s="197">
        <f>D269</f>
        <v>0</v>
      </c>
      <c r="E268" s="189"/>
    </row>
    <row r="269" spans="1:5" ht="12.75" hidden="1">
      <c r="A269" s="469" t="s">
        <v>77</v>
      </c>
      <c r="B269" s="192" t="s">
        <v>98</v>
      </c>
      <c r="C269" s="470">
        <v>800</v>
      </c>
      <c r="D269" s="190">
        <v>0</v>
      </c>
      <c r="E269" s="189"/>
    </row>
    <row r="270" spans="1:5" ht="25.5">
      <c r="A270" s="204" t="s">
        <v>702</v>
      </c>
      <c r="B270" s="257" t="s">
        <v>21</v>
      </c>
      <c r="C270" s="172" t="s">
        <v>87</v>
      </c>
      <c r="D270" s="171">
        <f>D271+D275</f>
        <v>423000</v>
      </c>
      <c r="E270" s="189"/>
    </row>
    <row r="271" spans="1:5" ht="38.25">
      <c r="A271" s="4" t="s">
        <v>584</v>
      </c>
      <c r="B271" s="196" t="s">
        <v>22</v>
      </c>
      <c r="C271" s="195"/>
      <c r="D271" s="197">
        <f>D272</f>
        <v>88300</v>
      </c>
      <c r="E271" s="189"/>
    </row>
    <row r="272" spans="1:5" ht="38.25">
      <c r="A272" s="8" t="s">
        <v>514</v>
      </c>
      <c r="B272" s="196" t="s">
        <v>23</v>
      </c>
      <c r="C272" s="195"/>
      <c r="D272" s="197">
        <f>D273</f>
        <v>88300</v>
      </c>
      <c r="E272" s="189"/>
    </row>
    <row r="273" spans="1:5" ht="25.5">
      <c r="A273" s="5" t="s">
        <v>701</v>
      </c>
      <c r="B273" s="196" t="s">
        <v>24</v>
      </c>
      <c r="C273" s="195"/>
      <c r="D273" s="197">
        <f>D274</f>
        <v>88300</v>
      </c>
      <c r="E273" s="189"/>
    </row>
    <row r="274" spans="1:5" ht="21.75" customHeight="1">
      <c r="A274" s="5" t="s">
        <v>90</v>
      </c>
      <c r="B274" s="196" t="s">
        <v>24</v>
      </c>
      <c r="C274" s="195">
        <v>600</v>
      </c>
      <c r="D274" s="194">
        <v>88300</v>
      </c>
      <c r="E274" s="189"/>
    </row>
    <row r="275" spans="1:5" ht="39" customHeight="1">
      <c r="A275" s="4" t="s">
        <v>585</v>
      </c>
      <c r="B275" s="196" t="s">
        <v>26</v>
      </c>
      <c r="C275" s="195"/>
      <c r="D275" s="197">
        <f>D276</f>
        <v>334700</v>
      </c>
      <c r="E275" s="189"/>
    </row>
    <row r="276" spans="1:5" ht="38.25">
      <c r="A276" s="7" t="s">
        <v>453</v>
      </c>
      <c r="B276" s="196" t="s">
        <v>27</v>
      </c>
      <c r="C276" s="195"/>
      <c r="D276" s="197">
        <f>D277</f>
        <v>334700</v>
      </c>
      <c r="E276" s="189"/>
    </row>
    <row r="277" spans="1:5" ht="25.5">
      <c r="A277" s="198" t="s">
        <v>470</v>
      </c>
      <c r="B277" s="196" t="s">
        <v>28</v>
      </c>
      <c r="C277" s="209" t="s">
        <v>87</v>
      </c>
      <c r="D277" s="197">
        <f>D278+D279</f>
        <v>334700</v>
      </c>
      <c r="E277" s="189"/>
    </row>
    <row r="278" spans="1:5" ht="51">
      <c r="A278" s="193" t="s">
        <v>735</v>
      </c>
      <c r="B278" s="192" t="s">
        <v>28</v>
      </c>
      <c r="C278" s="191">
        <v>100</v>
      </c>
      <c r="D278" s="197">
        <v>275523.51</v>
      </c>
      <c r="E278" s="189"/>
    </row>
    <row r="279" spans="1:5" ht="25.5">
      <c r="A279" s="450" t="s">
        <v>228</v>
      </c>
      <c r="B279" s="192" t="s">
        <v>28</v>
      </c>
      <c r="C279" s="191">
        <v>200</v>
      </c>
      <c r="D279" s="190">
        <v>59176.49</v>
      </c>
      <c r="E279" s="189"/>
    </row>
    <row r="280" spans="1:5" ht="38.25">
      <c r="A280" s="204" t="s">
        <v>477</v>
      </c>
      <c r="B280" s="257" t="s">
        <v>638</v>
      </c>
      <c r="C280" s="172"/>
      <c r="D280" s="171">
        <f>D281+D287</f>
        <v>5623928.96</v>
      </c>
      <c r="E280" s="189"/>
    </row>
    <row r="281" spans="1:5" ht="25.5">
      <c r="A281" s="449" t="s">
        <v>709</v>
      </c>
      <c r="B281" s="196" t="s">
        <v>336</v>
      </c>
      <c r="C281" s="195"/>
      <c r="D281" s="197">
        <f>D282+D284</f>
        <v>5585925.8</v>
      </c>
      <c r="E281" s="189"/>
    </row>
    <row r="282" spans="1:5" ht="51" hidden="1">
      <c r="A282" s="439" t="s">
        <v>400</v>
      </c>
      <c r="B282" s="196" t="s">
        <v>401</v>
      </c>
      <c r="C282" s="195"/>
      <c r="D282" s="197">
        <f>D283</f>
        <v>0</v>
      </c>
      <c r="E282" s="189"/>
    </row>
    <row r="283" spans="1:5" ht="12.75" hidden="1">
      <c r="A283" s="471" t="s">
        <v>77</v>
      </c>
      <c r="B283" s="196" t="s">
        <v>401</v>
      </c>
      <c r="C283" s="195">
        <v>800</v>
      </c>
      <c r="D283" s="197"/>
      <c r="E283" s="189"/>
    </row>
    <row r="284" spans="1:5" ht="25.5">
      <c r="A284" s="450" t="s">
        <v>338</v>
      </c>
      <c r="B284" s="196" t="s">
        <v>337</v>
      </c>
      <c r="C284" s="195"/>
      <c r="D284" s="197">
        <f>D285</f>
        <v>5585925.8</v>
      </c>
      <c r="E284" s="189"/>
    </row>
    <row r="285" spans="1:5" ht="25.5">
      <c r="A285" s="450" t="s">
        <v>228</v>
      </c>
      <c r="B285" s="196" t="s">
        <v>337</v>
      </c>
      <c r="C285" s="195">
        <v>200</v>
      </c>
      <c r="D285" s="197">
        <v>5585925.8</v>
      </c>
      <c r="E285" s="189"/>
    </row>
    <row r="286" spans="1:5" ht="25.5">
      <c r="A286" s="159" t="s">
        <v>871</v>
      </c>
      <c r="B286" s="148" t="s">
        <v>872</v>
      </c>
      <c r="C286" s="147"/>
      <c r="D286" s="197">
        <f>D287</f>
        <v>38003.16</v>
      </c>
      <c r="E286" s="189"/>
    </row>
    <row r="287" spans="1:5" ht="25.5">
      <c r="A287" s="159" t="s">
        <v>873</v>
      </c>
      <c r="B287" s="148" t="s">
        <v>874</v>
      </c>
      <c r="C287" s="195"/>
      <c r="D287" s="197">
        <f>D288</f>
        <v>38003.16</v>
      </c>
      <c r="E287" s="189"/>
    </row>
    <row r="288" spans="1:5" ht="25.5">
      <c r="A288" s="159" t="s">
        <v>228</v>
      </c>
      <c r="B288" s="148" t="s">
        <v>874</v>
      </c>
      <c r="C288" s="176">
        <v>200</v>
      </c>
      <c r="D288" s="391">
        <v>38003.16</v>
      </c>
      <c r="E288" s="189"/>
    </row>
    <row r="289" spans="1:5" ht="38.25" hidden="1">
      <c r="A289" s="266" t="s">
        <v>713</v>
      </c>
      <c r="B289" s="265" t="s">
        <v>111</v>
      </c>
      <c r="C289" s="265"/>
      <c r="D289" s="264">
        <f>D290</f>
        <v>0</v>
      </c>
      <c r="E289" s="189"/>
    </row>
    <row r="290" spans="1:6" ht="51" hidden="1">
      <c r="A290" s="263" t="s">
        <v>714</v>
      </c>
      <c r="B290" s="260" t="s">
        <v>112</v>
      </c>
      <c r="C290" s="260"/>
      <c r="D290" s="262">
        <f>D291</f>
        <v>0</v>
      </c>
      <c r="E290" s="189"/>
      <c r="F290" s="255"/>
    </row>
    <row r="291" spans="1:5" ht="25.5" hidden="1">
      <c r="A291" s="261" t="s">
        <v>113</v>
      </c>
      <c r="B291" s="260" t="s">
        <v>114</v>
      </c>
      <c r="C291" s="260"/>
      <c r="D291" s="262">
        <f>D292</f>
        <v>0</v>
      </c>
      <c r="E291" s="189"/>
    </row>
    <row r="292" spans="1:5" ht="38.25" hidden="1">
      <c r="A292" s="261" t="s">
        <v>116</v>
      </c>
      <c r="B292" s="260" t="s">
        <v>115</v>
      </c>
      <c r="C292" s="260"/>
      <c r="D292" s="262">
        <f>D293</f>
        <v>0</v>
      </c>
      <c r="E292" s="189"/>
    </row>
    <row r="293" spans="1:5" ht="25.5" hidden="1">
      <c r="A293" s="261" t="s">
        <v>228</v>
      </c>
      <c r="B293" s="260" t="s">
        <v>115</v>
      </c>
      <c r="C293" s="260">
        <v>200</v>
      </c>
      <c r="D293" s="259">
        <v>0</v>
      </c>
      <c r="E293" s="189"/>
    </row>
    <row r="294" spans="1:5" ht="25.5">
      <c r="A294" s="204" t="s">
        <v>583</v>
      </c>
      <c r="B294" s="172" t="s">
        <v>686</v>
      </c>
      <c r="C294" s="172" t="s">
        <v>87</v>
      </c>
      <c r="D294" s="171">
        <f>D295</f>
        <v>359440</v>
      </c>
      <c r="E294" s="189"/>
    </row>
    <row r="295" spans="1:5" ht="12.75">
      <c r="A295" s="5" t="s">
        <v>357</v>
      </c>
      <c r="B295" s="195" t="s">
        <v>687</v>
      </c>
      <c r="C295" s="195" t="s">
        <v>87</v>
      </c>
      <c r="D295" s="197">
        <f>D296</f>
        <v>359440</v>
      </c>
      <c r="E295" s="189"/>
    </row>
    <row r="296" spans="1:5" ht="25.5">
      <c r="A296" s="198" t="s">
        <v>731</v>
      </c>
      <c r="B296" s="195" t="s">
        <v>688</v>
      </c>
      <c r="C296" s="195" t="s">
        <v>87</v>
      </c>
      <c r="D296" s="197">
        <f>D297</f>
        <v>359440</v>
      </c>
      <c r="E296" s="189"/>
    </row>
    <row r="297" spans="1:5" ht="51">
      <c r="A297" s="193" t="s">
        <v>735</v>
      </c>
      <c r="B297" s="191" t="s">
        <v>688</v>
      </c>
      <c r="C297" s="191" t="s">
        <v>592</v>
      </c>
      <c r="D297" s="190">
        <f>363778-4338</f>
        <v>359440</v>
      </c>
      <c r="E297" s="189"/>
    </row>
    <row r="298" spans="1:5" ht="12.75">
      <c r="A298" s="204" t="s">
        <v>469</v>
      </c>
      <c r="B298" s="172" t="s">
        <v>689</v>
      </c>
      <c r="C298" s="172" t="s">
        <v>87</v>
      </c>
      <c r="D298" s="171">
        <f>D299</f>
        <v>13824382</v>
      </c>
      <c r="E298" s="189"/>
    </row>
    <row r="299" spans="1:5" ht="12.75">
      <c r="A299" s="5" t="s">
        <v>473</v>
      </c>
      <c r="B299" s="195" t="s">
        <v>690</v>
      </c>
      <c r="C299" s="195" t="s">
        <v>87</v>
      </c>
      <c r="D299" s="197">
        <f>D300+D303</f>
        <v>13824382</v>
      </c>
      <c r="E299" s="189"/>
    </row>
    <row r="300" spans="1:5" ht="38.25">
      <c r="A300" s="5" t="s">
        <v>293</v>
      </c>
      <c r="B300" s="195" t="s">
        <v>691</v>
      </c>
      <c r="C300" s="195"/>
      <c r="D300" s="197">
        <f>SUM(D301:D302)</f>
        <v>334700</v>
      </c>
      <c r="E300" s="189"/>
    </row>
    <row r="301" spans="1:5" ht="51">
      <c r="A301" s="5" t="s">
        <v>735</v>
      </c>
      <c r="B301" s="195" t="s">
        <v>691</v>
      </c>
      <c r="C301" s="195">
        <v>100</v>
      </c>
      <c r="D301" s="194">
        <v>294347.73</v>
      </c>
      <c r="E301" s="189"/>
    </row>
    <row r="302" spans="1:5" ht="25.5">
      <c r="A302" s="5" t="s">
        <v>228</v>
      </c>
      <c r="B302" s="195" t="s">
        <v>691</v>
      </c>
      <c r="C302" s="195">
        <v>200</v>
      </c>
      <c r="D302" s="194">
        <v>40352.27</v>
      </c>
      <c r="E302" s="189"/>
    </row>
    <row r="303" spans="1:5" ht="25.5">
      <c r="A303" s="198" t="s">
        <v>731</v>
      </c>
      <c r="B303" s="195" t="s">
        <v>692</v>
      </c>
      <c r="C303" s="195" t="s">
        <v>87</v>
      </c>
      <c r="D303" s="197">
        <f>SUM(D304:D306)</f>
        <v>13489682</v>
      </c>
      <c r="E303" s="189"/>
    </row>
    <row r="304" spans="1:5" ht="51">
      <c r="A304" s="5" t="s">
        <v>735</v>
      </c>
      <c r="B304" s="195" t="s">
        <v>692</v>
      </c>
      <c r="C304" s="195">
        <v>100</v>
      </c>
      <c r="D304" s="194">
        <v>12212368</v>
      </c>
      <c r="E304" s="189"/>
    </row>
    <row r="305" spans="1:5" ht="25.5">
      <c r="A305" s="5" t="s">
        <v>228</v>
      </c>
      <c r="B305" s="195" t="s">
        <v>692</v>
      </c>
      <c r="C305" s="195">
        <v>200</v>
      </c>
      <c r="D305" s="194">
        <v>1153128</v>
      </c>
      <c r="E305" s="189"/>
    </row>
    <row r="306" spans="1:5" ht="12.75">
      <c r="A306" s="193" t="s">
        <v>77</v>
      </c>
      <c r="B306" s="191" t="s">
        <v>692</v>
      </c>
      <c r="C306" s="191">
        <v>800</v>
      </c>
      <c r="D306" s="190">
        <f>123186+1000</f>
        <v>124186</v>
      </c>
      <c r="E306" s="189"/>
    </row>
    <row r="307" spans="1:5" ht="25.5">
      <c r="A307" s="204" t="s">
        <v>169</v>
      </c>
      <c r="B307" s="257" t="s">
        <v>696</v>
      </c>
      <c r="C307" s="172" t="s">
        <v>87</v>
      </c>
      <c r="D307" s="171">
        <f>D308+D311</f>
        <v>1170386</v>
      </c>
      <c r="E307" s="189"/>
    </row>
    <row r="308" spans="1:5" ht="25.5">
      <c r="A308" s="4" t="s">
        <v>170</v>
      </c>
      <c r="B308" s="199" t="s">
        <v>697</v>
      </c>
      <c r="C308" s="195" t="s">
        <v>87</v>
      </c>
      <c r="D308" s="197">
        <f>D309</f>
        <v>704687</v>
      </c>
      <c r="E308" s="189"/>
    </row>
    <row r="309" spans="1:5" ht="25.5">
      <c r="A309" s="198" t="s">
        <v>731</v>
      </c>
      <c r="B309" s="196" t="s">
        <v>698</v>
      </c>
      <c r="C309" s="195"/>
      <c r="D309" s="197">
        <f>SUM(D310:D310)</f>
        <v>704687</v>
      </c>
      <c r="E309" s="189"/>
    </row>
    <row r="310" spans="1:5" ht="51">
      <c r="A310" s="5" t="s">
        <v>735</v>
      </c>
      <c r="B310" s="196" t="s">
        <v>698</v>
      </c>
      <c r="C310" s="195">
        <v>100</v>
      </c>
      <c r="D310" s="197">
        <v>704687</v>
      </c>
      <c r="E310" s="189"/>
    </row>
    <row r="311" spans="1:5" ht="25.5">
      <c r="A311" s="5" t="s">
        <v>40</v>
      </c>
      <c r="B311" s="199" t="s">
        <v>39</v>
      </c>
      <c r="C311" s="195"/>
      <c r="D311" s="197">
        <f>D312</f>
        <v>465699</v>
      </c>
      <c r="E311" s="189"/>
    </row>
    <row r="312" spans="1:5" ht="25.5">
      <c r="A312" s="198" t="s">
        <v>731</v>
      </c>
      <c r="B312" s="196" t="s">
        <v>38</v>
      </c>
      <c r="C312" s="195"/>
      <c r="D312" s="197">
        <f>SUM(D313:D314)</f>
        <v>465699</v>
      </c>
      <c r="E312" s="189"/>
    </row>
    <row r="313" spans="1:5" ht="51">
      <c r="A313" s="5" t="s">
        <v>735</v>
      </c>
      <c r="B313" s="196" t="s">
        <v>38</v>
      </c>
      <c r="C313" s="195">
        <v>100</v>
      </c>
      <c r="D313" s="194">
        <v>445699</v>
      </c>
      <c r="E313" s="189"/>
    </row>
    <row r="314" spans="1:5" ht="25.5">
      <c r="A314" s="193" t="s">
        <v>228</v>
      </c>
      <c r="B314" s="192" t="s">
        <v>38</v>
      </c>
      <c r="C314" s="191">
        <v>200</v>
      </c>
      <c r="D314" s="190">
        <v>20000</v>
      </c>
      <c r="E314" s="189"/>
    </row>
    <row r="315" spans="1:5" ht="25.5">
      <c r="A315" s="204" t="s">
        <v>520</v>
      </c>
      <c r="B315" s="257" t="s">
        <v>519</v>
      </c>
      <c r="C315" s="258" t="s">
        <v>87</v>
      </c>
      <c r="D315" s="171">
        <f>D316</f>
        <v>897100</v>
      </c>
      <c r="E315" s="189"/>
    </row>
    <row r="316" spans="1:5" ht="12.75">
      <c r="A316" s="5" t="s">
        <v>518</v>
      </c>
      <c r="B316" s="196" t="s">
        <v>517</v>
      </c>
      <c r="C316" s="209"/>
      <c r="D316" s="197">
        <f>D317+D319</f>
        <v>897100</v>
      </c>
      <c r="E316" s="189"/>
    </row>
    <row r="317" spans="1:5" ht="25.5">
      <c r="A317" s="198" t="s">
        <v>36</v>
      </c>
      <c r="B317" s="196" t="s">
        <v>716</v>
      </c>
      <c r="C317" s="195"/>
      <c r="D317" s="197">
        <f>D318</f>
        <v>880900</v>
      </c>
      <c r="E317" s="189"/>
    </row>
    <row r="318" spans="1:5" ht="12.75">
      <c r="A318" s="5" t="s">
        <v>77</v>
      </c>
      <c r="B318" s="196" t="s">
        <v>716</v>
      </c>
      <c r="C318" s="195">
        <v>800</v>
      </c>
      <c r="D318" s="197">
        <v>880900</v>
      </c>
      <c r="E318" s="189"/>
    </row>
    <row r="319" spans="1:6" ht="25.5">
      <c r="A319" s="12" t="s">
        <v>516</v>
      </c>
      <c r="B319" s="196" t="s">
        <v>515</v>
      </c>
      <c r="C319" s="209" t="s">
        <v>87</v>
      </c>
      <c r="D319" s="197">
        <f>D320</f>
        <v>16200</v>
      </c>
      <c r="E319" s="189"/>
      <c r="F319" s="255"/>
    </row>
    <row r="320" spans="1:6" ht="25.5">
      <c r="A320" s="193" t="s">
        <v>91</v>
      </c>
      <c r="B320" s="192" t="s">
        <v>515</v>
      </c>
      <c r="C320" s="191">
        <v>200</v>
      </c>
      <c r="D320" s="190">
        <v>16200</v>
      </c>
      <c r="E320" s="189"/>
      <c r="F320" s="255"/>
    </row>
    <row r="321" spans="1:6" ht="25.5">
      <c r="A321" s="204" t="s">
        <v>626</v>
      </c>
      <c r="B321" s="257" t="s">
        <v>14</v>
      </c>
      <c r="C321" s="172"/>
      <c r="D321" s="171">
        <f>D322+D360</f>
        <v>31670820.5</v>
      </c>
      <c r="E321" s="189"/>
      <c r="F321" s="255"/>
    </row>
    <row r="322" spans="1:6" ht="12.75">
      <c r="A322" s="4" t="s">
        <v>636</v>
      </c>
      <c r="B322" s="199" t="s">
        <v>16</v>
      </c>
      <c r="C322" s="195"/>
      <c r="D322" s="197">
        <f>D323+D325+D328+D335+D342+D346+D350+D352+D358+D356+D354</f>
        <v>30540070.5</v>
      </c>
      <c r="E322" s="189"/>
      <c r="F322" s="255"/>
    </row>
    <row r="323" spans="1:6" ht="25.5">
      <c r="A323" s="6" t="s">
        <v>768</v>
      </c>
      <c r="B323" s="196" t="s">
        <v>45</v>
      </c>
      <c r="C323" s="195"/>
      <c r="D323" s="197">
        <f>D324</f>
        <v>1084220</v>
      </c>
      <c r="E323" s="189"/>
      <c r="F323" s="255"/>
    </row>
    <row r="324" spans="1:6" ht="25.5">
      <c r="A324" s="5" t="s">
        <v>91</v>
      </c>
      <c r="B324" s="196" t="s">
        <v>45</v>
      </c>
      <c r="C324" s="195">
        <v>200</v>
      </c>
      <c r="D324" s="194">
        <v>1084220</v>
      </c>
      <c r="E324" s="189"/>
      <c r="F324" s="255"/>
    </row>
    <row r="325" spans="1:6" ht="51">
      <c r="A325" s="6" t="s">
        <v>767</v>
      </c>
      <c r="B325" s="196" t="s">
        <v>46</v>
      </c>
      <c r="C325" s="196"/>
      <c r="D325" s="197">
        <f>D326+D327</f>
        <v>167350</v>
      </c>
      <c r="E325" s="189"/>
      <c r="F325" s="255"/>
    </row>
    <row r="326" spans="1:6" ht="51">
      <c r="A326" s="5" t="s">
        <v>735</v>
      </c>
      <c r="B326" s="196" t="s">
        <v>46</v>
      </c>
      <c r="C326" s="196">
        <v>100</v>
      </c>
      <c r="D326" s="194">
        <v>131226.27</v>
      </c>
      <c r="E326" s="189"/>
      <c r="F326" s="255"/>
    </row>
    <row r="327" spans="1:6" ht="25.5">
      <c r="A327" s="5" t="s">
        <v>91</v>
      </c>
      <c r="B327" s="196" t="s">
        <v>46</v>
      </c>
      <c r="C327" s="196">
        <v>200</v>
      </c>
      <c r="D327" s="194">
        <v>36123.73</v>
      </c>
      <c r="E327" s="189"/>
      <c r="F327" s="255"/>
    </row>
    <row r="328" spans="1:6" ht="12.75" hidden="1">
      <c r="A328" s="5" t="s">
        <v>718</v>
      </c>
      <c r="B328" s="196" t="s">
        <v>399</v>
      </c>
      <c r="C328" s="195"/>
      <c r="D328" s="197">
        <f>D329+D331+D333</f>
        <v>0</v>
      </c>
      <c r="E328" s="189"/>
      <c r="F328" s="255"/>
    </row>
    <row r="329" spans="1:6" ht="38.25" hidden="1">
      <c r="A329" s="159" t="s">
        <v>50</v>
      </c>
      <c r="B329" s="148" t="s">
        <v>49</v>
      </c>
      <c r="C329" s="147"/>
      <c r="D329" s="158">
        <f>D330</f>
        <v>0</v>
      </c>
      <c r="E329" s="189"/>
      <c r="F329" s="255"/>
    </row>
    <row r="330" spans="1:6" ht="25.5" hidden="1">
      <c r="A330" s="159" t="s">
        <v>228</v>
      </c>
      <c r="B330" s="148" t="s">
        <v>49</v>
      </c>
      <c r="C330" s="147">
        <v>200</v>
      </c>
      <c r="D330" s="158"/>
      <c r="E330" s="189"/>
      <c r="F330" s="255"/>
    </row>
    <row r="331" spans="1:6" ht="38.25" hidden="1">
      <c r="A331" s="159" t="s">
        <v>51</v>
      </c>
      <c r="B331" s="148" t="s">
        <v>52</v>
      </c>
      <c r="C331" s="147"/>
      <c r="D331" s="158">
        <f>D332</f>
        <v>0</v>
      </c>
      <c r="E331" s="189"/>
      <c r="F331" s="255"/>
    </row>
    <row r="332" spans="1:6" ht="25.5" hidden="1">
      <c r="A332" s="159" t="s">
        <v>228</v>
      </c>
      <c r="B332" s="148" t="s">
        <v>52</v>
      </c>
      <c r="C332" s="147">
        <v>200</v>
      </c>
      <c r="D332" s="158"/>
      <c r="E332" s="189"/>
      <c r="F332" s="255"/>
    </row>
    <row r="333" spans="1:6" ht="38.25" hidden="1">
      <c r="A333" s="159" t="s">
        <v>53</v>
      </c>
      <c r="B333" s="148" t="s">
        <v>54</v>
      </c>
      <c r="C333" s="147"/>
      <c r="D333" s="158">
        <f>D334</f>
        <v>0</v>
      </c>
      <c r="E333" s="189"/>
      <c r="F333" s="255"/>
    </row>
    <row r="334" spans="1:5" ht="25.5" hidden="1">
      <c r="A334" s="159" t="s">
        <v>228</v>
      </c>
      <c r="B334" s="148" t="s">
        <v>54</v>
      </c>
      <c r="C334" s="147">
        <v>200</v>
      </c>
      <c r="D334" s="158"/>
      <c r="E334" s="189"/>
    </row>
    <row r="335" spans="1:5" ht="12.75" hidden="1">
      <c r="A335" s="7" t="s">
        <v>748</v>
      </c>
      <c r="B335" s="196" t="s">
        <v>398</v>
      </c>
      <c r="C335" s="195"/>
      <c r="D335" s="197">
        <f>D336+D338+D340</f>
        <v>0</v>
      </c>
      <c r="E335" s="189"/>
    </row>
    <row r="336" spans="1:5" ht="38.25" hidden="1">
      <c r="A336" s="7" t="s">
        <v>55</v>
      </c>
      <c r="B336" s="148" t="s">
        <v>56</v>
      </c>
      <c r="C336" s="147"/>
      <c r="D336" s="158">
        <f>D337</f>
        <v>0</v>
      </c>
      <c r="E336" s="189"/>
    </row>
    <row r="337" spans="1:5" ht="25.5" hidden="1">
      <c r="A337" s="159" t="s">
        <v>228</v>
      </c>
      <c r="B337" s="148" t="s">
        <v>56</v>
      </c>
      <c r="C337" s="147">
        <v>200</v>
      </c>
      <c r="D337" s="158"/>
      <c r="E337" s="189"/>
    </row>
    <row r="338" spans="1:5" ht="38.25" hidden="1">
      <c r="A338" s="7" t="s">
        <v>57</v>
      </c>
      <c r="B338" s="148" t="s">
        <v>58</v>
      </c>
      <c r="C338" s="147"/>
      <c r="D338" s="158">
        <f>D339</f>
        <v>0</v>
      </c>
      <c r="E338" s="189"/>
    </row>
    <row r="339" spans="1:5" ht="25.5" hidden="1">
      <c r="A339" s="159" t="s">
        <v>228</v>
      </c>
      <c r="B339" s="148" t="s">
        <v>58</v>
      </c>
      <c r="C339" s="147">
        <v>200</v>
      </c>
      <c r="D339" s="158"/>
      <c r="E339" s="189"/>
    </row>
    <row r="340" spans="1:5" ht="38.25" hidden="1">
      <c r="A340" s="7" t="s">
        <v>59</v>
      </c>
      <c r="B340" s="148" t="s">
        <v>60</v>
      </c>
      <c r="C340" s="147"/>
      <c r="D340" s="158">
        <f>D341</f>
        <v>0</v>
      </c>
      <c r="E340" s="189"/>
    </row>
    <row r="341" spans="1:5" ht="25.5" hidden="1">
      <c r="A341" s="159" t="s">
        <v>228</v>
      </c>
      <c r="B341" s="148" t="s">
        <v>60</v>
      </c>
      <c r="C341" s="147">
        <v>200</v>
      </c>
      <c r="D341" s="158"/>
      <c r="E341" s="189"/>
    </row>
    <row r="342" spans="1:5" ht="25.5">
      <c r="A342" s="198" t="s">
        <v>494</v>
      </c>
      <c r="B342" s="196" t="s">
        <v>17</v>
      </c>
      <c r="C342" s="209" t="s">
        <v>87</v>
      </c>
      <c r="D342" s="197">
        <f>SUM(D343:D345)</f>
        <v>22527525</v>
      </c>
      <c r="E342" s="189"/>
    </row>
    <row r="343" spans="1:5" ht="51">
      <c r="A343" s="5" t="s">
        <v>735</v>
      </c>
      <c r="B343" s="196" t="s">
        <v>17</v>
      </c>
      <c r="C343" s="195" t="s">
        <v>592</v>
      </c>
      <c r="D343" s="194">
        <v>21478278</v>
      </c>
      <c r="E343" s="189"/>
    </row>
    <row r="344" spans="1:5" ht="25.5">
      <c r="A344" s="5" t="s">
        <v>228</v>
      </c>
      <c r="B344" s="196" t="s">
        <v>17</v>
      </c>
      <c r="C344" s="195" t="s">
        <v>74</v>
      </c>
      <c r="D344" s="194">
        <v>1000100</v>
      </c>
      <c r="E344" s="189"/>
    </row>
    <row r="345" spans="1:5" ht="12.75">
      <c r="A345" s="5" t="s">
        <v>77</v>
      </c>
      <c r="B345" s="196" t="s">
        <v>17</v>
      </c>
      <c r="C345" s="195" t="s">
        <v>78</v>
      </c>
      <c r="D345" s="194">
        <v>49147</v>
      </c>
      <c r="E345" s="189"/>
    </row>
    <row r="346" spans="1:6" ht="25.5">
      <c r="A346" s="198" t="s">
        <v>36</v>
      </c>
      <c r="B346" s="196" t="s">
        <v>341</v>
      </c>
      <c r="C346" s="195"/>
      <c r="D346" s="194">
        <f>D349+D348+D347</f>
        <v>5779774.5</v>
      </c>
      <c r="E346" s="189"/>
      <c r="F346" s="253"/>
    </row>
    <row r="347" spans="1:6" ht="25.5" hidden="1">
      <c r="A347" s="5" t="s">
        <v>228</v>
      </c>
      <c r="B347" s="196" t="s">
        <v>341</v>
      </c>
      <c r="C347" s="195">
        <v>200</v>
      </c>
      <c r="D347" s="194">
        <v>0</v>
      </c>
      <c r="E347" s="189"/>
      <c r="F347" s="253"/>
    </row>
    <row r="348" spans="1:6" ht="12.75" hidden="1">
      <c r="A348" s="149" t="s">
        <v>81</v>
      </c>
      <c r="B348" s="196" t="s">
        <v>341</v>
      </c>
      <c r="C348" s="195">
        <v>300</v>
      </c>
      <c r="D348" s="194"/>
      <c r="E348" s="189"/>
      <c r="F348" s="253"/>
    </row>
    <row r="349" spans="1:6" ht="12.75">
      <c r="A349" s="5" t="s">
        <v>77</v>
      </c>
      <c r="B349" s="196" t="s">
        <v>341</v>
      </c>
      <c r="C349" s="195">
        <v>800</v>
      </c>
      <c r="D349" s="194">
        <v>5779774.5</v>
      </c>
      <c r="E349" s="189"/>
      <c r="F349" s="253"/>
    </row>
    <row r="350" spans="1:6" ht="25.5">
      <c r="A350" s="53" t="s">
        <v>96</v>
      </c>
      <c r="B350" s="48" t="s">
        <v>97</v>
      </c>
      <c r="C350" s="445"/>
      <c r="D350" s="52">
        <f>D351</f>
        <v>400000</v>
      </c>
      <c r="E350" s="189"/>
      <c r="F350" s="253"/>
    </row>
    <row r="351" spans="1:6" ht="25.5">
      <c r="A351" s="53" t="s">
        <v>228</v>
      </c>
      <c r="B351" s="48" t="s">
        <v>97</v>
      </c>
      <c r="C351" s="445">
        <v>200</v>
      </c>
      <c r="D351" s="55">
        <v>400000</v>
      </c>
      <c r="E351" s="256"/>
      <c r="F351" s="466"/>
    </row>
    <row r="352" spans="1:6" ht="25.5">
      <c r="A352" s="198" t="s">
        <v>464</v>
      </c>
      <c r="B352" s="196" t="s">
        <v>18</v>
      </c>
      <c r="C352" s="209" t="s">
        <v>87</v>
      </c>
      <c r="D352" s="197">
        <f>D353</f>
        <v>540000</v>
      </c>
      <c r="E352" s="254"/>
      <c r="F352" s="255"/>
    </row>
    <row r="353" spans="1:6" ht="25.5">
      <c r="A353" s="198" t="s">
        <v>228</v>
      </c>
      <c r="B353" s="196" t="s">
        <v>18</v>
      </c>
      <c r="C353" s="445">
        <v>200</v>
      </c>
      <c r="D353" s="197">
        <v>540000</v>
      </c>
      <c r="E353" s="254"/>
      <c r="F353" s="255"/>
    </row>
    <row r="354" spans="1:6" ht="12.75" hidden="1">
      <c r="A354" s="149"/>
      <c r="B354" s="472"/>
      <c r="C354" s="473"/>
      <c r="D354" s="224">
        <f>D355</f>
        <v>0</v>
      </c>
      <c r="E354" s="254"/>
      <c r="F354" s="255"/>
    </row>
    <row r="355" spans="1:6" ht="12.75" hidden="1">
      <c r="A355" s="87"/>
      <c r="B355" s="472"/>
      <c r="C355" s="85"/>
      <c r="D355" s="224"/>
      <c r="E355" s="254"/>
      <c r="F355" s="255"/>
    </row>
    <row r="356" spans="1:6" ht="38.25">
      <c r="A356" s="305" t="s">
        <v>867</v>
      </c>
      <c r="B356" s="165" t="s">
        <v>868</v>
      </c>
      <c r="C356" s="474"/>
      <c r="D356" s="224">
        <f>D357</f>
        <v>41201</v>
      </c>
      <c r="E356" s="254"/>
      <c r="F356" s="253"/>
    </row>
    <row r="357" spans="1:6" ht="25.5">
      <c r="A357" s="303" t="s">
        <v>228</v>
      </c>
      <c r="B357" s="165" t="s">
        <v>868</v>
      </c>
      <c r="C357" s="474">
        <v>200</v>
      </c>
      <c r="D357" s="224">
        <v>41201</v>
      </c>
      <c r="E357" s="189"/>
      <c r="F357" s="140"/>
    </row>
    <row r="358" spans="1:6" ht="12.75" hidden="1">
      <c r="A358" s="170" t="s">
        <v>816</v>
      </c>
      <c r="B358" s="144" t="s">
        <v>815</v>
      </c>
      <c r="C358" s="169"/>
      <c r="D358" s="234">
        <f>D359</f>
        <v>0</v>
      </c>
      <c r="E358" s="189"/>
      <c r="F358" s="140"/>
    </row>
    <row r="359" spans="1:6" ht="25.5" hidden="1">
      <c r="A359" s="145" t="s">
        <v>228</v>
      </c>
      <c r="B359" s="144" t="s">
        <v>815</v>
      </c>
      <c r="C359" s="144">
        <v>200</v>
      </c>
      <c r="D359" s="234"/>
      <c r="E359" s="189"/>
      <c r="F359" s="140"/>
    </row>
    <row r="360" spans="1:6" ht="12.75">
      <c r="A360" s="159" t="s">
        <v>945</v>
      </c>
      <c r="B360" s="148" t="s">
        <v>970</v>
      </c>
      <c r="C360" s="147"/>
      <c r="D360" s="367">
        <f>D361</f>
        <v>1130750</v>
      </c>
      <c r="E360" s="189"/>
      <c r="F360" s="140"/>
    </row>
    <row r="361" spans="1:6" ht="12.75">
      <c r="A361" s="433" t="s">
        <v>947</v>
      </c>
      <c r="B361" s="148" t="s">
        <v>971</v>
      </c>
      <c r="C361" s="147"/>
      <c r="D361" s="367">
        <f>D362</f>
        <v>1130750</v>
      </c>
      <c r="E361" s="189"/>
      <c r="F361" s="140"/>
    </row>
    <row r="362" spans="1:6" ht="25.5">
      <c r="A362" s="159" t="s">
        <v>151</v>
      </c>
      <c r="B362" s="148" t="s">
        <v>971</v>
      </c>
      <c r="C362" s="147">
        <v>800</v>
      </c>
      <c r="D362" s="367">
        <v>1130750</v>
      </c>
      <c r="E362" s="189"/>
      <c r="F362" s="140"/>
    </row>
    <row r="363" spans="1:6" ht="12.75">
      <c r="A363" s="475" t="s">
        <v>174</v>
      </c>
      <c r="B363" s="476" t="s">
        <v>699</v>
      </c>
      <c r="C363" s="476" t="s">
        <v>87</v>
      </c>
      <c r="D363" s="477">
        <f>D364</f>
        <v>300000</v>
      </c>
      <c r="E363" s="140"/>
      <c r="F363" s="140"/>
    </row>
    <row r="364" spans="1:6" ht="12.75">
      <c r="A364" s="5" t="s">
        <v>535</v>
      </c>
      <c r="B364" s="195" t="s">
        <v>700</v>
      </c>
      <c r="C364" s="195" t="s">
        <v>87</v>
      </c>
      <c r="D364" s="197">
        <f>D365</f>
        <v>300000</v>
      </c>
      <c r="E364" s="189"/>
      <c r="F364" s="140"/>
    </row>
    <row r="365" spans="1:6" ht="12.75">
      <c r="A365" s="478" t="s">
        <v>261</v>
      </c>
      <c r="B365" s="479" t="s">
        <v>222</v>
      </c>
      <c r="C365" s="480" t="s">
        <v>87</v>
      </c>
      <c r="D365" s="481">
        <f>D366</f>
        <v>300000</v>
      </c>
      <c r="E365" s="140"/>
      <c r="F365" s="140"/>
    </row>
    <row r="366" spans="1:6" ht="12.75">
      <c r="A366" s="193" t="s">
        <v>77</v>
      </c>
      <c r="B366" s="191" t="s">
        <v>222</v>
      </c>
      <c r="C366" s="191" t="s">
        <v>78</v>
      </c>
      <c r="D366" s="190">
        <v>300000</v>
      </c>
      <c r="E366" s="189"/>
      <c r="F366" s="140"/>
    </row>
    <row r="367" spans="5:6" ht="12.75">
      <c r="E367" s="189"/>
      <c r="F367" s="140"/>
    </row>
    <row r="368" spans="5:6" ht="12.75">
      <c r="E368" s="189"/>
      <c r="F368" s="140"/>
    </row>
  </sheetData>
  <sheetProtection/>
  <mergeCells count="1">
    <mergeCell ref="A3:D3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Kochergin_AV</dc:creator>
  <cp:keywords/>
  <dc:description/>
  <cp:lastModifiedBy>Chesnokova_ON</cp:lastModifiedBy>
  <cp:lastPrinted>2021-12-22T07:53:05Z</cp:lastPrinted>
  <dcterms:created xsi:type="dcterms:W3CDTF">2011-11-14T07:33:47Z</dcterms:created>
  <dcterms:modified xsi:type="dcterms:W3CDTF">2022-12-21T06:20:34Z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